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emp_for_dreamweaver/My Drive/Self_2016_April/0_Teaching_NanoSE_2022Fall/0_Website_NSE_Fall2022/NSE_Website_Fall_2022/_pdf_files/"/>
    </mc:Choice>
  </mc:AlternateContent>
  <xr:revisionPtr revIDLastSave="0" documentId="13_ncr:1_{6048EB19-877F-2042-A61F-4DBB46F696D2}" xr6:coauthVersionLast="47" xr6:coauthVersionMax="47" xr10:uidLastSave="{00000000-0000-0000-0000-000000000000}"/>
  <bookViews>
    <workbookView xWindow="4920" yWindow="500" windowWidth="32760" windowHeight="20500" activeTab="4" xr2:uid="{405755B2-4F7C-6443-891F-5BEC20240629}"/>
  </bookViews>
  <sheets>
    <sheet name="SSA" sheetId="1" r:id="rId1"/>
    <sheet name="HW 01" sheetId="2" r:id="rId2"/>
    <sheet name="HW 03" sheetId="7" r:id="rId3"/>
    <sheet name="HW 04" sheetId="6" r:id="rId4"/>
    <sheet name="HW 05" sheetId="8" r:id="rId5"/>
    <sheet name="volume(theta)" sheetId="3" r:id="rId6"/>
    <sheet name="r_crit;gamma" sheetId="4" r:id="rId7"/>
    <sheet name="enthalpy &amp; E" sheetId="5" r:id="rId8"/>
    <sheet name="lambda nm" sheetId="9" r:id="rId9"/>
    <sheet name="Bragg" sheetId="10" r:id="rId10"/>
  </sheets>
  <definedNames>
    <definedName name="_xlnm.Print_Area" localSheetId="9">Bragg!$D$3:$G$58</definedName>
    <definedName name="_xlnm.Print_Area" localSheetId="2">'HW 03'!$B$5:$N$26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65" i="8" l="1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8" i="8"/>
  <c r="G16" i="8"/>
  <c r="D49" i="10"/>
  <c r="D50" i="10" s="1"/>
  <c r="D51" i="10" s="1"/>
  <c r="D52" i="10" s="1"/>
  <c r="D53" i="10" s="1"/>
  <c r="D54" i="10" s="1"/>
  <c r="D55" i="10" s="1"/>
  <c r="D56" i="10" s="1"/>
  <c r="D57" i="10" s="1"/>
  <c r="D35" i="10"/>
  <c r="D36" i="10" s="1"/>
  <c r="D37" i="10" s="1"/>
  <c r="D38" i="10" s="1"/>
  <c r="D39" i="10" s="1"/>
  <c r="D40" i="10" s="1"/>
  <c r="D41" i="10" s="1"/>
  <c r="D42" i="10" s="1"/>
  <c r="D43" i="10" s="1"/>
  <c r="L29" i="10"/>
  <c r="I29" i="10"/>
  <c r="F29" i="10"/>
  <c r="L28" i="10"/>
  <c r="I28" i="10"/>
  <c r="F28" i="10"/>
  <c r="L27" i="10"/>
  <c r="I27" i="10"/>
  <c r="F27" i="10"/>
  <c r="L26" i="10"/>
  <c r="I26" i="10"/>
  <c r="F26" i="10"/>
  <c r="L25" i="10"/>
  <c r="I25" i="10"/>
  <c r="F25" i="10"/>
  <c r="L24" i="10"/>
  <c r="I24" i="10"/>
  <c r="F24" i="10"/>
  <c r="L23" i="10"/>
  <c r="I23" i="10"/>
  <c r="F23" i="10"/>
  <c r="L22" i="10"/>
  <c r="I22" i="10"/>
  <c r="F22" i="10"/>
  <c r="L21" i="10"/>
  <c r="I21" i="10"/>
  <c r="J21" i="10" s="1"/>
  <c r="F21" i="10"/>
  <c r="L20" i="10"/>
  <c r="M20" i="10" s="1"/>
  <c r="I20" i="10"/>
  <c r="J20" i="10" s="1"/>
  <c r="G20" i="10" s="1"/>
  <c r="F20" i="10"/>
  <c r="D21" i="10"/>
  <c r="D22" i="10" s="1"/>
  <c r="D23" i="10" s="1"/>
  <c r="D24" i="10" s="1"/>
  <c r="D25" i="10" s="1"/>
  <c r="D26" i="10" s="1"/>
  <c r="D27" i="10" s="1"/>
  <c r="D28" i="10" s="1"/>
  <c r="J22" i="9"/>
  <c r="L22" i="9" s="1"/>
  <c r="H21" i="9"/>
  <c r="J21" i="9" s="1"/>
  <c r="L21" i="9" s="1"/>
  <c r="F22" i="9"/>
  <c r="H22" i="9" s="1"/>
  <c r="G21" i="10" l="1"/>
  <c r="M21" i="10"/>
  <c r="D29" i="10"/>
  <c r="M29" i="10" s="1"/>
  <c r="J28" i="10"/>
  <c r="G28" i="10" s="1"/>
  <c r="J29" i="10"/>
  <c r="G29" i="10" s="1"/>
  <c r="M26" i="10"/>
  <c r="J22" i="10"/>
  <c r="G22" i="10" s="1"/>
  <c r="J27" i="10"/>
  <c r="G27" i="10" s="1"/>
  <c r="J26" i="10"/>
  <c r="G26" i="10" s="1"/>
  <c r="J24" i="10"/>
  <c r="G24" i="10" s="1"/>
  <c r="J25" i="10"/>
  <c r="G25" i="10" s="1"/>
  <c r="M28" i="10"/>
  <c r="M24" i="10"/>
  <c r="M22" i="10"/>
  <c r="M27" i="10"/>
  <c r="J23" i="10"/>
  <c r="G23" i="10" s="1"/>
  <c r="M23" i="10"/>
  <c r="M25" i="10"/>
  <c r="F23" i="9"/>
  <c r="E17" i="8"/>
  <c r="G17" i="8" s="1"/>
  <c r="E16" i="8"/>
  <c r="D17" i="8"/>
  <c r="D18" i="8" s="1"/>
  <c r="E11" i="8"/>
  <c r="E12" i="8"/>
  <c r="E13" i="8" s="1"/>
  <c r="O10" i="7"/>
  <c r="O11" i="7" s="1"/>
  <c r="O12" i="7" s="1"/>
  <c r="O13" i="7" s="1"/>
  <c r="O14" i="7" s="1"/>
  <c r="G26" i="7"/>
  <c r="C15" i="7"/>
  <c r="C16" i="7" s="1"/>
  <c r="C10" i="7"/>
  <c r="D6" i="6"/>
  <c r="D5" i="6"/>
  <c r="D19" i="8" l="1"/>
  <c r="E18" i="8"/>
  <c r="G18" i="8" s="1"/>
  <c r="F15" i="7"/>
  <c r="H15" i="7" s="1"/>
  <c r="K15" i="7" s="1"/>
  <c r="M15" i="7" s="1"/>
  <c r="F24" i="9"/>
  <c r="H23" i="9"/>
  <c r="J23" i="9" s="1"/>
  <c r="L23" i="9" s="1"/>
  <c r="F14" i="7"/>
  <c r="H14" i="7" s="1"/>
  <c r="K14" i="7" s="1"/>
  <c r="C17" i="7"/>
  <c r="F16" i="7"/>
  <c r="H16" i="7" s="1"/>
  <c r="K16" i="7" s="1"/>
  <c r="M16" i="7" s="1"/>
  <c r="E12" i="5"/>
  <c r="E13" i="5" s="1"/>
  <c r="E16" i="5"/>
  <c r="E23" i="5" s="1"/>
  <c r="E24" i="5" s="1"/>
  <c r="D20" i="8" l="1"/>
  <c r="E19" i="8"/>
  <c r="G19" i="8" s="1"/>
  <c r="F25" i="9"/>
  <c r="H24" i="9"/>
  <c r="J24" i="9" s="1"/>
  <c r="L24" i="9" s="1"/>
  <c r="C18" i="7"/>
  <c r="F17" i="7"/>
  <c r="H17" i="7" s="1"/>
  <c r="K17" i="7" s="1"/>
  <c r="M17" i="7" s="1"/>
  <c r="H30" i="4"/>
  <c r="H31" i="4" s="1"/>
  <c r="I20" i="4"/>
  <c r="I21" i="4" s="1"/>
  <c r="L21" i="4" s="1"/>
  <c r="C6" i="4"/>
  <c r="C7" i="4" s="1"/>
  <c r="C8" i="4" s="1"/>
  <c r="C9" i="4" s="1"/>
  <c r="I13" i="4"/>
  <c r="I14" i="4" s="1"/>
  <c r="I16" i="4" s="1"/>
  <c r="D15" i="4"/>
  <c r="D16" i="4" s="1"/>
  <c r="C19" i="4"/>
  <c r="C20" i="4" s="1"/>
  <c r="J15" i="3"/>
  <c r="J16" i="3" s="1"/>
  <c r="J17" i="3" s="1"/>
  <c r="J18" i="3" s="1"/>
  <c r="J19" i="3" s="1"/>
  <c r="J20" i="3" s="1"/>
  <c r="J21" i="3" s="1"/>
  <c r="J22" i="3" s="1"/>
  <c r="J23" i="3" s="1"/>
  <c r="J24" i="3" s="1"/>
  <c r="J25" i="3" s="1"/>
  <c r="J26" i="3" s="1"/>
  <c r="J27" i="3" s="1"/>
  <c r="J28" i="3" s="1"/>
  <c r="J29" i="3" s="1"/>
  <c r="J30" i="3" s="1"/>
  <c r="J31" i="3" s="1"/>
  <c r="J32" i="3" s="1"/>
  <c r="G30" i="3"/>
  <c r="H30" i="3" s="1"/>
  <c r="F34" i="3"/>
  <c r="D31" i="3"/>
  <c r="E31" i="3" s="1"/>
  <c r="G31" i="3" s="1"/>
  <c r="H31" i="3" s="1"/>
  <c r="D30" i="3"/>
  <c r="E30" i="3" s="1"/>
  <c r="D29" i="3"/>
  <c r="E29" i="3" s="1"/>
  <c r="G29" i="3" s="1"/>
  <c r="H29" i="3" s="1"/>
  <c r="D28" i="3"/>
  <c r="E28" i="3" s="1"/>
  <c r="G28" i="3" s="1"/>
  <c r="H28" i="3" s="1"/>
  <c r="D25" i="3"/>
  <c r="E25" i="3" s="1"/>
  <c r="G25" i="3" s="1"/>
  <c r="H25" i="3" s="1"/>
  <c r="D22" i="3"/>
  <c r="E22" i="3" s="1"/>
  <c r="G22" i="3" s="1"/>
  <c r="H22" i="3" s="1"/>
  <c r="D21" i="3"/>
  <c r="E21" i="3" s="1"/>
  <c r="G21" i="3" s="1"/>
  <c r="H21" i="3" s="1"/>
  <c r="D19" i="3"/>
  <c r="E19" i="3" s="1"/>
  <c r="G19" i="3" s="1"/>
  <c r="H19" i="3" s="1"/>
  <c r="D18" i="3"/>
  <c r="E18" i="3" s="1"/>
  <c r="G18" i="3" s="1"/>
  <c r="H18" i="3" s="1"/>
  <c r="D17" i="3"/>
  <c r="E17" i="3" s="1"/>
  <c r="G17" i="3" s="1"/>
  <c r="H17" i="3" s="1"/>
  <c r="D16" i="3"/>
  <c r="E16" i="3" s="1"/>
  <c r="G16" i="3" s="1"/>
  <c r="H16" i="3" s="1"/>
  <c r="C15" i="3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D32" i="3" s="1"/>
  <c r="E32" i="3" s="1"/>
  <c r="G32" i="3" s="1"/>
  <c r="H32" i="3" s="1"/>
  <c r="D14" i="3"/>
  <c r="E14" i="3" s="1"/>
  <c r="G14" i="3" s="1"/>
  <c r="H14" i="3" s="1"/>
  <c r="C44" i="2"/>
  <c r="C45" i="2" s="1"/>
  <c r="J18" i="2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G17" i="2"/>
  <c r="H17" i="2" s="1"/>
  <c r="C13" i="1"/>
  <c r="C16" i="1"/>
  <c r="G18" i="2" l="1"/>
  <c r="H18" i="2" s="1"/>
  <c r="D23" i="3"/>
  <c r="E23" i="3" s="1"/>
  <c r="G23" i="3" s="1"/>
  <c r="H23" i="3" s="1"/>
  <c r="I22" i="4"/>
  <c r="I24" i="4" s="1"/>
  <c r="I26" i="4" s="1"/>
  <c r="D15" i="3"/>
  <c r="E15" i="3" s="1"/>
  <c r="G15" i="3" s="1"/>
  <c r="H15" i="3" s="1"/>
  <c r="D24" i="3"/>
  <c r="E24" i="3" s="1"/>
  <c r="G24" i="3" s="1"/>
  <c r="H24" i="3" s="1"/>
  <c r="D21" i="8"/>
  <c r="E20" i="8"/>
  <c r="G20" i="8" s="1"/>
  <c r="F26" i="9"/>
  <c r="H25" i="9"/>
  <c r="J25" i="9" s="1"/>
  <c r="L25" i="9" s="1"/>
  <c r="H32" i="4"/>
  <c r="C46" i="2"/>
  <c r="C48" i="2"/>
  <c r="C49" i="2" s="1"/>
  <c r="C51" i="2" s="1"/>
  <c r="D26" i="3"/>
  <c r="E26" i="3" s="1"/>
  <c r="G26" i="3" s="1"/>
  <c r="H26" i="3" s="1"/>
  <c r="G19" i="2"/>
  <c r="I18" i="2"/>
  <c r="D20" i="3"/>
  <c r="E20" i="3" s="1"/>
  <c r="G20" i="3" s="1"/>
  <c r="H20" i="3" s="1"/>
  <c r="D27" i="3"/>
  <c r="E27" i="3" s="1"/>
  <c r="G27" i="3" s="1"/>
  <c r="H27" i="3" s="1"/>
  <c r="C25" i="4"/>
  <c r="C19" i="7"/>
  <c r="F19" i="7" s="1"/>
  <c r="H19" i="7" s="1"/>
  <c r="K19" i="7" s="1"/>
  <c r="M19" i="7" s="1"/>
  <c r="F18" i="7"/>
  <c r="H18" i="7" s="1"/>
  <c r="K18" i="7" s="1"/>
  <c r="M18" i="7" s="1"/>
  <c r="C28" i="4"/>
  <c r="C29" i="4" s="1"/>
  <c r="G20" i="2"/>
  <c r="C18" i="1"/>
  <c r="D22" i="8" l="1"/>
  <c r="E21" i="8"/>
  <c r="G21" i="8" s="1"/>
  <c r="F27" i="9"/>
  <c r="H26" i="9"/>
  <c r="J26" i="9" s="1"/>
  <c r="L26" i="9" s="1"/>
  <c r="H20" i="2"/>
  <c r="I20" i="2"/>
  <c r="C56" i="2"/>
  <c r="C53" i="2"/>
  <c r="I19" i="2"/>
  <c r="H19" i="2"/>
  <c r="G21" i="2"/>
  <c r="D23" i="8" l="1"/>
  <c r="E22" i="8"/>
  <c r="G22" i="8" s="1"/>
  <c r="F28" i="9"/>
  <c r="H27" i="9"/>
  <c r="J27" i="9" s="1"/>
  <c r="L27" i="9" s="1"/>
  <c r="I21" i="2"/>
  <c r="H21" i="2"/>
  <c r="G22" i="2"/>
  <c r="D24" i="8" l="1"/>
  <c r="E23" i="8"/>
  <c r="G23" i="8" s="1"/>
  <c r="F29" i="9"/>
  <c r="H28" i="9"/>
  <c r="J28" i="9" s="1"/>
  <c r="L28" i="9" s="1"/>
  <c r="I22" i="2"/>
  <c r="H22" i="2"/>
  <c r="G23" i="2"/>
  <c r="D25" i="8" l="1"/>
  <c r="E24" i="8"/>
  <c r="G24" i="8" s="1"/>
  <c r="F30" i="9"/>
  <c r="H30" i="9" s="1"/>
  <c r="J30" i="9" s="1"/>
  <c r="L30" i="9" s="1"/>
  <c r="H29" i="9"/>
  <c r="J29" i="9" s="1"/>
  <c r="L29" i="9" s="1"/>
  <c r="I23" i="2"/>
  <c r="H23" i="2"/>
  <c r="G24" i="2"/>
  <c r="D26" i="8" l="1"/>
  <c r="E25" i="8"/>
  <c r="G25" i="8" s="1"/>
  <c r="I24" i="2"/>
  <c r="H24" i="2"/>
  <c r="G25" i="2"/>
  <c r="D27" i="8" l="1"/>
  <c r="E26" i="8"/>
  <c r="G26" i="8" s="1"/>
  <c r="H25" i="2"/>
  <c r="I25" i="2"/>
  <c r="G26" i="2"/>
  <c r="D28" i="8" l="1"/>
  <c r="E27" i="8"/>
  <c r="G27" i="8" s="1"/>
  <c r="G27" i="2"/>
  <c r="I26" i="2"/>
  <c r="H26" i="2"/>
  <c r="D29" i="8" l="1"/>
  <c r="E28" i="8"/>
  <c r="G28" i="8" s="1"/>
  <c r="G28" i="2"/>
  <c r="I27" i="2"/>
  <c r="H27" i="2"/>
  <c r="D30" i="8" l="1"/>
  <c r="E29" i="8"/>
  <c r="G29" i="8" s="1"/>
  <c r="G29" i="2"/>
  <c r="I28" i="2"/>
  <c r="H28" i="2"/>
  <c r="D31" i="8" l="1"/>
  <c r="E30" i="8"/>
  <c r="G30" i="8" s="1"/>
  <c r="G30" i="2"/>
  <c r="I29" i="2"/>
  <c r="H29" i="2"/>
  <c r="D32" i="8" l="1"/>
  <c r="E31" i="8"/>
  <c r="G31" i="8" s="1"/>
  <c r="G31" i="2"/>
  <c r="I30" i="2"/>
  <c r="H30" i="2"/>
  <c r="D33" i="8" l="1"/>
  <c r="E32" i="8"/>
  <c r="G32" i="8" s="1"/>
  <c r="I31" i="2"/>
  <c r="H31" i="2"/>
  <c r="G32" i="2"/>
  <c r="D34" i="8" l="1"/>
  <c r="E33" i="8"/>
  <c r="G33" i="8" s="1"/>
  <c r="I32" i="2"/>
  <c r="G33" i="2"/>
  <c r="H32" i="2"/>
  <c r="D35" i="8" l="1"/>
  <c r="E34" i="8"/>
  <c r="G34" i="8" s="1"/>
  <c r="H33" i="2"/>
  <c r="G34" i="2"/>
  <c r="D36" i="8" l="1"/>
  <c r="E35" i="8"/>
  <c r="G35" i="8" s="1"/>
  <c r="G35" i="2"/>
  <c r="H35" i="2" s="1"/>
  <c r="H34" i="2"/>
  <c r="D37" i="8" l="1"/>
  <c r="E36" i="8"/>
  <c r="G36" i="8" s="1"/>
  <c r="D38" i="8" l="1"/>
  <c r="E37" i="8"/>
  <c r="G37" i="8" s="1"/>
  <c r="D39" i="8" l="1"/>
  <c r="E38" i="8"/>
  <c r="G38" i="8" s="1"/>
  <c r="D40" i="8" l="1"/>
  <c r="E39" i="8"/>
  <c r="G39" i="8" s="1"/>
  <c r="D41" i="8" l="1"/>
  <c r="E40" i="8"/>
  <c r="G40" i="8" s="1"/>
  <c r="D42" i="8" l="1"/>
  <c r="E41" i="8"/>
  <c r="G41" i="8" s="1"/>
  <c r="D43" i="8" l="1"/>
  <c r="E42" i="8"/>
  <c r="G42" i="8" s="1"/>
  <c r="D44" i="8" l="1"/>
  <c r="E43" i="8"/>
  <c r="G43" i="8" s="1"/>
  <c r="D45" i="8" l="1"/>
  <c r="E44" i="8"/>
  <c r="G44" i="8" s="1"/>
  <c r="D46" i="8" l="1"/>
  <c r="E45" i="8"/>
  <c r="G45" i="8" s="1"/>
  <c r="D47" i="8" l="1"/>
  <c r="E46" i="8"/>
  <c r="G46" i="8" s="1"/>
  <c r="D48" i="8" l="1"/>
  <c r="E47" i="8"/>
  <c r="G47" i="8" s="1"/>
  <c r="D49" i="8" l="1"/>
  <c r="E48" i="8"/>
  <c r="G48" i="8" s="1"/>
  <c r="D50" i="8" l="1"/>
  <c r="E49" i="8"/>
  <c r="G49" i="8" s="1"/>
  <c r="D51" i="8" l="1"/>
  <c r="E50" i="8"/>
  <c r="G50" i="8" s="1"/>
  <c r="D52" i="8" l="1"/>
  <c r="E51" i="8"/>
  <c r="G51" i="8" s="1"/>
  <c r="D53" i="8" l="1"/>
  <c r="E52" i="8"/>
  <c r="G52" i="8" s="1"/>
  <c r="D54" i="8" l="1"/>
  <c r="E53" i="8"/>
  <c r="G53" i="8" s="1"/>
  <c r="D55" i="8" l="1"/>
  <c r="E54" i="8"/>
  <c r="G54" i="8" s="1"/>
  <c r="D56" i="8" l="1"/>
  <c r="E55" i="8"/>
  <c r="G55" i="8" s="1"/>
  <c r="D57" i="8" l="1"/>
  <c r="E56" i="8"/>
  <c r="G56" i="8" s="1"/>
  <c r="D58" i="8" l="1"/>
  <c r="E57" i="8"/>
  <c r="G57" i="8" s="1"/>
  <c r="D59" i="8" l="1"/>
  <c r="E58" i="8"/>
  <c r="G58" i="8" s="1"/>
  <c r="D60" i="8" l="1"/>
  <c r="E59" i="8"/>
  <c r="G59" i="8" s="1"/>
  <c r="D61" i="8" l="1"/>
  <c r="E60" i="8"/>
  <c r="G60" i="8" s="1"/>
  <c r="D62" i="8" l="1"/>
  <c r="E61" i="8"/>
  <c r="G61" i="8" s="1"/>
  <c r="D63" i="8" l="1"/>
  <c r="E62" i="8"/>
  <c r="G62" i="8" s="1"/>
  <c r="E63" i="8" l="1"/>
  <c r="G63" i="8" s="1"/>
  <c r="D64" i="8"/>
  <c r="D65" i="8" l="1"/>
  <c r="E65" i="8" s="1"/>
  <c r="G65" i="8" s="1"/>
  <c r="E64" i="8"/>
  <c r="G64" i="8" s="1"/>
</calcChain>
</file>

<file path=xl/sharedStrings.xml><?xml version="1.0" encoding="utf-8"?>
<sst xmlns="http://schemas.openxmlformats.org/spreadsheetml/2006/main" count="251" uniqueCount="130">
  <si>
    <t>v_f</t>
  </si>
  <si>
    <t>d</t>
  </si>
  <si>
    <t>nm</t>
  </si>
  <si>
    <t xml:space="preserve">density </t>
  </si>
  <si>
    <r>
      <t>g/cm</t>
    </r>
    <r>
      <rPr>
        <vertAlign val="superscript"/>
        <sz val="11"/>
        <color theme="1"/>
        <rFont val="Courier"/>
        <family val="1"/>
      </rPr>
      <t>3</t>
    </r>
  </si>
  <si>
    <t>SSA</t>
  </si>
  <si>
    <t>m^2/g</t>
  </si>
  <si>
    <t>g/m^3</t>
  </si>
  <si>
    <t>m</t>
  </si>
  <si>
    <t>alpha</t>
  </si>
  <si>
    <t>LHS</t>
  </si>
  <si>
    <t>1/alpha</t>
  </si>
  <si>
    <t>HW 01 size of the water moleule</t>
  </si>
  <si>
    <t>M_W</t>
  </si>
  <si>
    <t>g/mo</t>
  </si>
  <si>
    <t>density</t>
  </si>
  <si>
    <t>g/cm^3</t>
  </si>
  <si>
    <t>N_A</t>
  </si>
  <si>
    <t>/mol</t>
  </si>
  <si>
    <t>vol/unit</t>
  </si>
  <si>
    <t>cm^3</t>
  </si>
  <si>
    <t>m^3</t>
  </si>
  <si>
    <t>size</t>
  </si>
  <si>
    <t>size/Radius</t>
  </si>
  <si>
    <t>F_V</t>
  </si>
  <si>
    <t>a</t>
  </si>
  <si>
    <t>Theta</t>
  </si>
  <si>
    <t>critical radius</t>
  </si>
  <si>
    <t>Water from vapor</t>
  </si>
  <si>
    <t>gamma _S</t>
  </si>
  <si>
    <t>J/m^2</t>
  </si>
  <si>
    <t>DelataH</t>
  </si>
  <si>
    <t>kJ/mole</t>
  </si>
  <si>
    <t>mol wt</t>
  </si>
  <si>
    <t>g</t>
  </si>
  <si>
    <t>Density</t>
  </si>
  <si>
    <t>molar volum</t>
  </si>
  <si>
    <t>T_DP</t>
  </si>
  <si>
    <t>K</t>
  </si>
  <si>
    <t>del T</t>
  </si>
  <si>
    <t>Del G_Vol</t>
  </si>
  <si>
    <t>J/m^3</t>
  </si>
  <si>
    <t>r*</t>
  </si>
  <si>
    <t>J/mol</t>
  </si>
  <si>
    <t>surface energy one atom at a time</t>
  </si>
  <si>
    <t>DelH/atom</t>
  </si>
  <si>
    <t>J/atom</t>
  </si>
  <si>
    <t>SurfacedelH</t>
  </si>
  <si>
    <t xml:space="preserve">factor </t>
  </si>
  <si>
    <t>#per area</t>
  </si>
  <si>
    <t>vol</t>
  </si>
  <si>
    <t>area</t>
  </si>
  <si>
    <t>m^2</t>
  </si>
  <si>
    <t>3/m^2</t>
  </si>
  <si>
    <t>#/area</t>
  </si>
  <si>
    <t>energy/area</t>
  </si>
  <si>
    <t>T</t>
  </si>
  <si>
    <t>TdelS</t>
  </si>
  <si>
    <t>delS</t>
  </si>
  <si>
    <t>J/K</t>
  </si>
  <si>
    <t>R</t>
  </si>
  <si>
    <t>J/(K-mol)</t>
  </si>
  <si>
    <t>mol/area</t>
  </si>
  <si>
    <t>V2/V1</t>
  </si>
  <si>
    <t>ln(V2/V1)</t>
  </si>
  <si>
    <t>Rln(V2/V1)</t>
  </si>
  <si>
    <t>(mol/area)R</t>
  </si>
  <si>
    <t>Let's consider silica</t>
  </si>
  <si>
    <t>V_mol</t>
  </si>
  <si>
    <t>Mol wt</t>
  </si>
  <si>
    <t>g/mol</t>
  </si>
  <si>
    <t>Molar vol</t>
  </si>
  <si>
    <t>E</t>
  </si>
  <si>
    <t>Gpa</t>
  </si>
  <si>
    <t>Pa</t>
  </si>
  <si>
    <t>pi</t>
  </si>
  <si>
    <t>Z</t>
  </si>
  <si>
    <t>DEL_H</t>
  </si>
  <si>
    <t>kJ/mol</t>
  </si>
  <si>
    <t>close packed structure</t>
  </si>
  <si>
    <t>nm^3</t>
  </si>
  <si>
    <t>Method I</t>
  </si>
  <si>
    <t>Method II</t>
  </si>
  <si>
    <t>Mehtod I</t>
  </si>
  <si>
    <t>no atoms</t>
  </si>
  <si>
    <t>cluster size</t>
  </si>
  <si>
    <t>F_V/F_V(sphere)</t>
  </si>
  <si>
    <t>answer</t>
  </si>
  <si>
    <t>answer =</t>
  </si>
  <si>
    <t>gamma_S</t>
  </si>
  <si>
    <t>DelH_V</t>
  </si>
  <si>
    <t>Del T</t>
  </si>
  <si>
    <t>Del_G_V</t>
  </si>
  <si>
    <t>comment A</t>
  </si>
  <si>
    <t>molar vol</t>
  </si>
  <si>
    <t>cm^3/mol</t>
  </si>
  <si>
    <t>m^3/mol</t>
  </si>
  <si>
    <t>r_crit</t>
  </si>
  <si>
    <t>Comment A: convert J/mol into J/m^3;divide by molar volume in m^3/mol</t>
  </si>
  <si>
    <t>Del_T (K)</t>
  </si>
  <si>
    <t>r_crit(nm)</t>
  </si>
  <si>
    <t>n/a</t>
  </si>
  <si>
    <t xml:space="preserve">Calculate flaw size for a fracture stress of 250 MPa for glass. </t>
  </si>
  <si>
    <r>
      <t>K</t>
    </r>
    <r>
      <rPr>
        <vertAlign val="subscript"/>
        <sz val="11"/>
        <color theme="1"/>
        <rFont val="Courier"/>
        <family val="1"/>
      </rPr>
      <t>IC</t>
    </r>
  </si>
  <si>
    <r>
      <t>MPa m</t>
    </r>
    <r>
      <rPr>
        <vertAlign val="superscript"/>
        <sz val="11"/>
        <color theme="1"/>
        <rFont val="Courier"/>
        <family val="1"/>
      </rPr>
      <t>1/2</t>
    </r>
  </si>
  <si>
    <t>sigma_F</t>
  </si>
  <si>
    <t>MPa</t>
  </si>
  <si>
    <t>c</t>
  </si>
  <si>
    <r>
      <t>c</t>
    </r>
    <r>
      <rPr>
        <vertAlign val="superscript"/>
        <sz val="11"/>
        <color theme="1"/>
        <rFont val="Courier"/>
        <family val="1"/>
      </rPr>
      <t>1/2</t>
    </r>
  </si>
  <si>
    <t>um</t>
  </si>
  <si>
    <t>c (um)</t>
  </si>
  <si>
    <t>c (m)</t>
  </si>
  <si>
    <t>sig_f</t>
  </si>
  <si>
    <t>h</t>
  </si>
  <si>
    <t>Joules</t>
  </si>
  <si>
    <t>J sec</t>
  </si>
  <si>
    <t>m/s</t>
  </si>
  <si>
    <t>lambda</t>
  </si>
  <si>
    <t>J-&gt; eV</t>
  </si>
  <si>
    <t>divide by</t>
  </si>
  <si>
    <t>eV</t>
  </si>
  <si>
    <t>blue</t>
  </si>
  <si>
    <t>red</t>
  </si>
  <si>
    <t>UV</t>
  </si>
  <si>
    <t>theta</t>
  </si>
  <si>
    <t>degrees</t>
  </si>
  <si>
    <t>radiana</t>
  </si>
  <si>
    <t>n</t>
  </si>
  <si>
    <t>sig/E  %</t>
  </si>
  <si>
    <t>sig/E c/10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</si>
</sst>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"/>
    <numFmt numFmtId="165" formatCode="0.0"/>
    <numFmt numFmtId="166" formatCode="0.000"/>
  </numFmts>
  <fonts count="6" x14ac:knownFonts="1">
    <font>
      <sz val="11"/>
      <color theme="1"/>
      <name val="Courier"/>
      <family val="2"/>
    </font>
    <font>
      <vertAlign val="superscript"/>
      <sz val="11"/>
      <color theme="1"/>
      <name val="Courier"/>
      <family val="1"/>
    </font>
    <font>
      <sz val="12"/>
      <color rgb="FF000000"/>
      <name val="Times"/>
      <family val="1"/>
    </font>
    <font>
      <sz val="11"/>
      <color theme="4"/>
      <name val="Courier"/>
      <family val="2"/>
    </font>
    <font>
      <b/>
      <sz val="11"/>
      <color theme="1"/>
      <name val="Courier"/>
      <family val="1"/>
    </font>
    <font>
      <vertAlign val="subscript"/>
      <sz val="11"/>
      <color theme="1"/>
      <name val="Courier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1" fontId="0" fillId="0" borderId="0" xfId="0" applyNumberFormat="1"/>
    <xf numFmtId="11" fontId="0" fillId="0" borderId="0" xfId="0" applyNumberFormat="1"/>
    <xf numFmtId="164" fontId="0" fillId="0" borderId="0" xfId="0" applyNumberFormat="1"/>
    <xf numFmtId="0" fontId="2" fillId="0" borderId="0" xfId="0" applyFont="1"/>
    <xf numFmtId="0" fontId="3" fillId="0" borderId="0" xfId="0" applyFont="1"/>
    <xf numFmtId="165" fontId="0" fillId="0" borderId="0" xfId="0" applyNumberFormat="1"/>
    <xf numFmtId="165" fontId="3" fillId="0" borderId="0" xfId="0" applyNumberFormat="1" applyFont="1"/>
    <xf numFmtId="0" fontId="4" fillId="0" borderId="0" xfId="0" applyFont="1"/>
    <xf numFmtId="11" fontId="4" fillId="0" borderId="0" xfId="0" applyNumberFormat="1" applyFont="1"/>
    <xf numFmtId="2" fontId="0" fillId="0" borderId="0" xfId="0" applyNumberFormat="1"/>
    <xf numFmtId="166" fontId="0" fillId="0" borderId="0" xfId="0" applyNumberFormat="1"/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'HW 01'!$G$17:$G$32</c:f>
              <c:numCache>
                <c:formatCode>General</c:formatCode>
                <c:ptCount val="16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0.12000000000000001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0.19999999999999998</c:v>
                </c:pt>
                <c:pt idx="11">
                  <c:v>0.21999999999999997</c:v>
                </c:pt>
                <c:pt idx="12">
                  <c:v>0.23999999999999996</c:v>
                </c:pt>
                <c:pt idx="13">
                  <c:v>0.25999999999999995</c:v>
                </c:pt>
                <c:pt idx="14">
                  <c:v>0.27999999999999997</c:v>
                </c:pt>
                <c:pt idx="15">
                  <c:v>0.3</c:v>
                </c:pt>
              </c:numCache>
            </c:numRef>
          </c:xVal>
          <c:yVal>
            <c:numRef>
              <c:f>'HW 01'!$H$17:$H$32</c:f>
              <c:numCache>
                <c:formatCode>General</c:formatCode>
                <c:ptCount val="16"/>
                <c:pt idx="0">
                  <c:v>1</c:v>
                </c:pt>
                <c:pt idx="1">
                  <c:v>1.0318744740711778</c:v>
                </c:pt>
                <c:pt idx="2">
                  <c:v>1.0678168402777777</c:v>
                </c:pt>
                <c:pt idx="3">
                  <c:v>1.1083574930410409</c:v>
                </c:pt>
                <c:pt idx="4">
                  <c:v>1.1541053669762471</c:v>
                </c:pt>
                <c:pt idx="5">
                  <c:v>1.2057613168724279</c:v>
                </c:pt>
                <c:pt idx="6">
                  <c:v>1.2641341096919609</c:v>
                </c:pt>
                <c:pt idx="7">
                  <c:v>1.3301596085879233</c:v>
                </c:pt>
                <c:pt idx="8">
                  <c:v>1.4049238743116295</c:v>
                </c:pt>
                <c:pt idx="9">
                  <c:v>1.4896910956022111</c:v>
                </c:pt>
                <c:pt idx="10">
                  <c:v>1.5859375</c:v>
                </c:pt>
                <c:pt idx="11">
                  <c:v>1.6953927072270267</c:v>
                </c:pt>
                <c:pt idx="12">
                  <c:v>1.8200903921854494</c:v>
                </c:pt>
                <c:pt idx="13">
                  <c:v>1.9624306556373758</c:v>
                </c:pt>
                <c:pt idx="14">
                  <c:v>2.1252572016460904</c:v>
                </c:pt>
                <c:pt idx="15">
                  <c:v>2.3119533527696792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76-FE43-AB0F-8D7665ED9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66799"/>
        <c:axId val="143922751"/>
      </c:scatterChart>
      <c:valAx>
        <c:axId val="167866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922751"/>
        <c:crosses val="autoZero"/>
        <c:crossBetween val="midCat"/>
      </c:valAx>
      <c:valAx>
        <c:axId val="143922751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8667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'HW 05'!$F$16:$F$65</c:f>
              <c:numCache>
                <c:formatCode>General</c:formatCode>
                <c:ptCount val="50"/>
                <c:pt idx="0">
                  <c:v>49.999999999999993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44.999999999999993</c:v>
                </c:pt>
                <c:pt idx="6">
                  <c:v>44</c:v>
                </c:pt>
                <c:pt idx="7">
                  <c:v>42.999999999999993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37.999999999999993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32.999999999999993</c:v>
                </c:pt>
                <c:pt idx="18">
                  <c:v>32</c:v>
                </c:pt>
                <c:pt idx="19">
                  <c:v>31</c:v>
                </c:pt>
                <c:pt idx="20">
                  <c:v>29.999999999999996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24.999999999999996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18.999999999999996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14.999999999999998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</c:numCache>
            </c:numRef>
          </c:xVal>
          <c:yVal>
            <c:numRef>
              <c:f>'HW 05'!$H$16:$H$65</c:f>
              <c:numCache>
                <c:formatCode>General</c:formatCode>
                <c:ptCount val="50"/>
                <c:pt idx="0">
                  <c:v>0.17677669529663689</c:v>
                </c:pt>
                <c:pt idx="1">
                  <c:v>0.17857142857142858</c:v>
                </c:pt>
                <c:pt idx="2">
                  <c:v>0.18042195912175804</c:v>
                </c:pt>
                <c:pt idx="3">
                  <c:v>0.1823312393723682</c:v>
                </c:pt>
                <c:pt idx="4">
                  <c:v>0.18430244519362141</c:v>
                </c:pt>
                <c:pt idx="5">
                  <c:v>0.1863389981249825</c:v>
                </c:pt>
                <c:pt idx="6">
                  <c:v>0.18844459036110228</c:v>
                </c:pt>
                <c:pt idx="7">
                  <c:v>0.19062321291575585</c:v>
                </c:pt>
                <c:pt idx="8">
                  <c:v>0.19287918745261487</c:v>
                </c:pt>
                <c:pt idx="9">
                  <c:v>0.19521720236075757</c:v>
                </c:pt>
                <c:pt idx="10">
                  <c:v>0.19764235376052369</c:v>
                </c:pt>
                <c:pt idx="11">
                  <c:v>0.20016019225635892</c:v>
                </c:pt>
                <c:pt idx="12">
                  <c:v>0.20277677641345321</c:v>
                </c:pt>
                <c:pt idx="13">
                  <c:v>0.20549873413169661</c:v>
                </c:pt>
                <c:pt idx="14">
                  <c:v>0.20833333333333331</c:v>
                </c:pt>
                <c:pt idx="15">
                  <c:v>0.21128856368212914</c:v>
                </c:pt>
                <c:pt idx="16">
                  <c:v>0.21437323142813602</c:v>
                </c:pt>
                <c:pt idx="17">
                  <c:v>0.2175970699446223</c:v>
                </c:pt>
                <c:pt idx="18">
                  <c:v>0.22097086912079614</c:v>
                </c:pt>
                <c:pt idx="19">
                  <c:v>0.22450662753346859</c:v>
                </c:pt>
                <c:pt idx="20">
                  <c:v>0.2282177322938192</c:v>
                </c:pt>
                <c:pt idx="21">
                  <c:v>0.23211917272131483</c:v>
                </c:pt>
                <c:pt idx="22">
                  <c:v>0.23622779563076701</c:v>
                </c:pt>
                <c:pt idx="23">
                  <c:v>0.24056261216234406</c:v>
                </c:pt>
                <c:pt idx="24">
                  <c:v>0.24514516892273006</c:v>
                </c:pt>
                <c:pt idx="25">
                  <c:v>0.25</c:v>
                </c:pt>
                <c:pt idx="26">
                  <c:v>0.2551551815399144</c:v>
                </c:pt>
                <c:pt idx="27">
                  <c:v>0.26064301757134339</c:v>
                </c:pt>
                <c:pt idx="28">
                  <c:v>0.26650089544451305</c:v>
                </c:pt>
                <c:pt idx="29">
                  <c:v>0.27277236279499045</c:v>
                </c:pt>
                <c:pt idx="30">
                  <c:v>0.27950849718747373</c:v>
                </c:pt>
                <c:pt idx="31">
                  <c:v>0.28676966733820225</c:v>
                </c:pt>
                <c:pt idx="32">
                  <c:v>0.29462782549439481</c:v>
                </c:pt>
                <c:pt idx="33">
                  <c:v>0.30316953129541624</c:v>
                </c:pt>
                <c:pt idx="34">
                  <c:v>0.3125</c:v>
                </c:pt>
                <c:pt idx="35">
                  <c:v>0.3227486121839514</c:v>
                </c:pt>
                <c:pt idx="36">
                  <c:v>0.33407655239053052</c:v>
                </c:pt>
                <c:pt idx="37">
                  <c:v>0.34668762264076824</c:v>
                </c:pt>
                <c:pt idx="38">
                  <c:v>0.36084391824351608</c:v>
                </c:pt>
                <c:pt idx="39">
                  <c:v>0.37688918072220456</c:v>
                </c:pt>
                <c:pt idx="40">
                  <c:v>0.39528470752104738</c:v>
                </c:pt>
                <c:pt idx="41">
                  <c:v>0.41666666666666663</c:v>
                </c:pt>
                <c:pt idx="42">
                  <c:v>0.44194173824159227</c:v>
                </c:pt>
                <c:pt idx="43">
                  <c:v>0.47245559126153402</c:v>
                </c:pt>
                <c:pt idx="44">
                  <c:v>0.5103103630798288</c:v>
                </c:pt>
                <c:pt idx="45">
                  <c:v>0.55901699437494745</c:v>
                </c:pt>
                <c:pt idx="46">
                  <c:v>0.625</c:v>
                </c:pt>
                <c:pt idx="47">
                  <c:v>0.72168783648703216</c:v>
                </c:pt>
                <c:pt idx="48">
                  <c:v>0.88388347648318455</c:v>
                </c:pt>
                <c:pt idx="49">
                  <c:v>1.25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93-9F42-923B-5887FC796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536512"/>
        <c:axId val="558538272"/>
      </c:scatterChart>
      <c:valAx>
        <c:axId val="558536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538272"/>
        <c:crosses val="autoZero"/>
        <c:crossBetween val="midCat"/>
      </c:valAx>
      <c:valAx>
        <c:axId val="55853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53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Helvetica Neue" panose="02000503000000020004" pitchFamily="2" charset="0"/>
              <a:ea typeface="Helvetica Neue" panose="02000503000000020004" pitchFamily="2" charset="0"/>
              <a:cs typeface="Helvetica Neue" panose="02000503000000020004" pitchFamily="2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'HW 05'!$F$16:$F$65</c:f>
              <c:numCache>
                <c:formatCode>General</c:formatCode>
                <c:ptCount val="50"/>
                <c:pt idx="0">
                  <c:v>49.999999999999993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44.999999999999993</c:v>
                </c:pt>
                <c:pt idx="6">
                  <c:v>44</c:v>
                </c:pt>
                <c:pt idx="7">
                  <c:v>42.999999999999993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37.999999999999993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32.999999999999993</c:v>
                </c:pt>
                <c:pt idx="18">
                  <c:v>32</c:v>
                </c:pt>
                <c:pt idx="19">
                  <c:v>31</c:v>
                </c:pt>
                <c:pt idx="20">
                  <c:v>29.999999999999996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24.999999999999996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18.999999999999996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14.999999999999998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</c:numCache>
            </c:numRef>
          </c:xVal>
          <c:yVal>
            <c:numRef>
              <c:f>'HW 05'!$H$16:$H$65</c:f>
              <c:numCache>
                <c:formatCode>General</c:formatCode>
                <c:ptCount val="50"/>
                <c:pt idx="0">
                  <c:v>0.17677669529663689</c:v>
                </c:pt>
                <c:pt idx="1">
                  <c:v>0.17857142857142858</c:v>
                </c:pt>
                <c:pt idx="2">
                  <c:v>0.18042195912175804</c:v>
                </c:pt>
                <c:pt idx="3">
                  <c:v>0.1823312393723682</c:v>
                </c:pt>
                <c:pt idx="4">
                  <c:v>0.18430244519362141</c:v>
                </c:pt>
                <c:pt idx="5">
                  <c:v>0.1863389981249825</c:v>
                </c:pt>
                <c:pt idx="6">
                  <c:v>0.18844459036110228</c:v>
                </c:pt>
                <c:pt idx="7">
                  <c:v>0.19062321291575585</c:v>
                </c:pt>
                <c:pt idx="8">
                  <c:v>0.19287918745261487</c:v>
                </c:pt>
                <c:pt idx="9">
                  <c:v>0.19521720236075757</c:v>
                </c:pt>
                <c:pt idx="10">
                  <c:v>0.19764235376052369</c:v>
                </c:pt>
                <c:pt idx="11">
                  <c:v>0.20016019225635892</c:v>
                </c:pt>
                <c:pt idx="12">
                  <c:v>0.20277677641345321</c:v>
                </c:pt>
                <c:pt idx="13">
                  <c:v>0.20549873413169661</c:v>
                </c:pt>
                <c:pt idx="14">
                  <c:v>0.20833333333333331</c:v>
                </c:pt>
                <c:pt idx="15">
                  <c:v>0.21128856368212914</c:v>
                </c:pt>
                <c:pt idx="16">
                  <c:v>0.21437323142813602</c:v>
                </c:pt>
                <c:pt idx="17">
                  <c:v>0.2175970699446223</c:v>
                </c:pt>
                <c:pt idx="18">
                  <c:v>0.22097086912079614</c:v>
                </c:pt>
                <c:pt idx="19">
                  <c:v>0.22450662753346859</c:v>
                </c:pt>
                <c:pt idx="20">
                  <c:v>0.2282177322938192</c:v>
                </c:pt>
                <c:pt idx="21">
                  <c:v>0.23211917272131483</c:v>
                </c:pt>
                <c:pt idx="22">
                  <c:v>0.23622779563076701</c:v>
                </c:pt>
                <c:pt idx="23">
                  <c:v>0.24056261216234406</c:v>
                </c:pt>
                <c:pt idx="24">
                  <c:v>0.24514516892273006</c:v>
                </c:pt>
                <c:pt idx="25">
                  <c:v>0.25</c:v>
                </c:pt>
                <c:pt idx="26">
                  <c:v>0.2551551815399144</c:v>
                </c:pt>
                <c:pt idx="27">
                  <c:v>0.26064301757134339</c:v>
                </c:pt>
                <c:pt idx="28">
                  <c:v>0.26650089544451305</c:v>
                </c:pt>
                <c:pt idx="29">
                  <c:v>0.27277236279499045</c:v>
                </c:pt>
                <c:pt idx="30">
                  <c:v>0.27950849718747373</c:v>
                </c:pt>
                <c:pt idx="31">
                  <c:v>0.28676966733820225</c:v>
                </c:pt>
                <c:pt idx="32">
                  <c:v>0.29462782549439481</c:v>
                </c:pt>
                <c:pt idx="33">
                  <c:v>0.30316953129541624</c:v>
                </c:pt>
                <c:pt idx="34">
                  <c:v>0.3125</c:v>
                </c:pt>
                <c:pt idx="35">
                  <c:v>0.3227486121839514</c:v>
                </c:pt>
                <c:pt idx="36">
                  <c:v>0.33407655239053052</c:v>
                </c:pt>
                <c:pt idx="37">
                  <c:v>0.34668762264076824</c:v>
                </c:pt>
                <c:pt idx="38">
                  <c:v>0.36084391824351608</c:v>
                </c:pt>
                <c:pt idx="39">
                  <c:v>0.37688918072220456</c:v>
                </c:pt>
                <c:pt idx="40">
                  <c:v>0.39528470752104738</c:v>
                </c:pt>
                <c:pt idx="41">
                  <c:v>0.41666666666666663</c:v>
                </c:pt>
                <c:pt idx="42">
                  <c:v>0.44194173824159227</c:v>
                </c:pt>
                <c:pt idx="43">
                  <c:v>0.47245559126153402</c:v>
                </c:pt>
                <c:pt idx="44">
                  <c:v>0.5103103630798288</c:v>
                </c:pt>
                <c:pt idx="45">
                  <c:v>0.55901699437494745</c:v>
                </c:pt>
                <c:pt idx="46">
                  <c:v>0.625</c:v>
                </c:pt>
                <c:pt idx="47">
                  <c:v>0.72168783648703216</c:v>
                </c:pt>
                <c:pt idx="48">
                  <c:v>0.88388347648318455</c:v>
                </c:pt>
                <c:pt idx="49">
                  <c:v>1.25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6D-C840-87BF-62125F9458C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'HW 05'!$F$16:$F$65</c:f>
              <c:numCache>
                <c:formatCode>General</c:formatCode>
                <c:ptCount val="50"/>
                <c:pt idx="0">
                  <c:v>49.999999999999993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44.999999999999993</c:v>
                </c:pt>
                <c:pt idx="6">
                  <c:v>44</c:v>
                </c:pt>
                <c:pt idx="7">
                  <c:v>42.999999999999993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37.999999999999993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32.999999999999993</c:v>
                </c:pt>
                <c:pt idx="18">
                  <c:v>32</c:v>
                </c:pt>
                <c:pt idx="19">
                  <c:v>31</c:v>
                </c:pt>
                <c:pt idx="20">
                  <c:v>29.999999999999996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24.999999999999996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18.999999999999996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14.999999999999998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</c:numCache>
            </c:numRef>
          </c:xVal>
          <c:yVal>
            <c:numRef>
              <c:f>'HW 05'!$I$16:$I$65</c:f>
              <c:numCache>
                <c:formatCode>General</c:formatCode>
                <c:ptCount val="50"/>
                <c:pt idx="0">
                  <c:v>0.55901699437494745</c:v>
                </c:pt>
                <c:pt idx="1">
                  <c:v>0.56469243931578206</c:v>
                </c:pt>
                <c:pt idx="2">
                  <c:v>0.57054433073454802</c:v>
                </c:pt>
                <c:pt idx="3">
                  <c:v>0.57658200501805323</c:v>
                </c:pt>
                <c:pt idx="4">
                  <c:v>0.58281550515019609</c:v>
                </c:pt>
                <c:pt idx="5">
                  <c:v>0.58925565098878974</c:v>
                </c:pt>
                <c:pt idx="6">
                  <c:v>0.59591411827849528</c:v>
                </c:pt>
                <c:pt idx="7">
                  <c:v>0.60280352771301526</c:v>
                </c:pt>
                <c:pt idx="8">
                  <c:v>0.6099375455928332</c:v>
                </c:pt>
                <c:pt idx="9">
                  <c:v>0.61733099790599355</c:v>
                </c:pt>
                <c:pt idx="10">
                  <c:v>0.625</c:v>
                </c:pt>
                <c:pt idx="11">
                  <c:v>0.63296210442729173</c:v>
                </c:pt>
                <c:pt idx="12">
                  <c:v>0.64123647005322149</c:v>
                </c:pt>
                <c:pt idx="13">
                  <c:v>0.64984405613754548</c:v>
                </c:pt>
                <c:pt idx="14">
                  <c:v>0.65880784586841235</c:v>
                </c:pt>
                <c:pt idx="15">
                  <c:v>0.66815310478106105</c:v>
                </c:pt>
                <c:pt idx="16">
                  <c:v>0.67790768068330054</c:v>
                </c:pt>
                <c:pt idx="17">
                  <c:v>0.68810235320397539</c:v>
                </c:pt>
                <c:pt idx="18">
                  <c:v>0.69877124296868443</c:v>
                </c:pt>
                <c:pt idx="19">
                  <c:v>0.70995229280883099</c:v>
                </c:pt>
                <c:pt idx="20">
                  <c:v>0.72168783648703216</c:v>
                </c:pt>
                <c:pt idx="21">
                  <c:v>0.73402527439337939</c:v>
                </c:pt>
                <c:pt idx="22">
                  <c:v>0.74701788083399601</c:v>
                </c:pt>
                <c:pt idx="23">
                  <c:v>0.7607257743127307</c:v>
                </c:pt>
                <c:pt idx="24">
                  <c:v>0.775217091182553</c:v>
                </c:pt>
                <c:pt idx="25">
                  <c:v>0.79056941504209488</c:v>
                </c:pt>
                <c:pt idx="26">
                  <c:v>0.80687153045987858</c:v>
                </c:pt>
                <c:pt idx="27">
                  <c:v>0.82422559174473364</c:v>
                </c:pt>
                <c:pt idx="28">
                  <c:v>0.84274982807905274</c:v>
                </c:pt>
                <c:pt idx="29">
                  <c:v>0.86258194917794273</c:v>
                </c:pt>
                <c:pt idx="30">
                  <c:v>0.88388347648318455</c:v>
                </c:pt>
                <c:pt idx="31">
                  <c:v>0.90684531263751478</c:v>
                </c:pt>
                <c:pt idx="32">
                  <c:v>0.93169499062491246</c:v>
                </c:pt>
                <c:pt idx="33">
                  <c:v>0.95870623605921312</c:v>
                </c:pt>
                <c:pt idx="34">
                  <c:v>0.98821176880261863</c:v>
                </c:pt>
                <c:pt idx="35">
                  <c:v>1.0206207261596576</c:v>
                </c:pt>
                <c:pt idx="36">
                  <c:v>1.056442818410646</c:v>
                </c:pt>
                <c:pt idx="37">
                  <c:v>1.0963225241337866</c:v>
                </c:pt>
                <c:pt idx="38">
                  <c:v>1.141088661469096</c:v>
                </c:pt>
                <c:pt idx="39">
                  <c:v>1.1918282365569906</c:v>
                </c:pt>
                <c:pt idx="40">
                  <c:v>1.25</c:v>
                </c:pt>
                <c:pt idx="41">
                  <c:v>1.3176156917368247</c:v>
                </c:pt>
                <c:pt idx="42">
                  <c:v>1.3975424859373689</c:v>
                </c:pt>
                <c:pt idx="43">
                  <c:v>1.494035761667992</c:v>
                </c:pt>
                <c:pt idx="44">
                  <c:v>1.6137430609197572</c:v>
                </c:pt>
                <c:pt idx="45">
                  <c:v>1.7677669529663691</c:v>
                </c:pt>
                <c:pt idx="46">
                  <c:v>1.9764235376052373</c:v>
                </c:pt>
                <c:pt idx="47">
                  <c:v>2.2821773229381921</c:v>
                </c:pt>
                <c:pt idx="48">
                  <c:v>2.7950849718747377</c:v>
                </c:pt>
                <c:pt idx="49">
                  <c:v>3.9528470752104745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6D-C840-87BF-62125F945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972464"/>
        <c:axId val="600974112"/>
      </c:scatterChart>
      <c:valAx>
        <c:axId val="600972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 Neue" panose="02000503000000020004" pitchFamily="2" charset="0"/>
                <a:ea typeface="Helvetica Neue" panose="02000503000000020004" pitchFamily="2" charset="0"/>
                <a:cs typeface="Helvetica Neue" panose="02000503000000020004" pitchFamily="2" charset="0"/>
              </a:defRPr>
            </a:pPr>
            <a:endParaRPr lang="en-US"/>
          </a:p>
        </c:txPr>
        <c:crossAx val="600974112"/>
        <c:crosses val="autoZero"/>
        <c:crossBetween val="midCat"/>
      </c:valAx>
      <c:valAx>
        <c:axId val="6009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 Neue" panose="02000503000000020004" pitchFamily="2" charset="0"/>
                <a:ea typeface="Helvetica Neue" panose="02000503000000020004" pitchFamily="2" charset="0"/>
                <a:cs typeface="Helvetica Neue" panose="02000503000000020004" pitchFamily="2" charset="0"/>
              </a:defRPr>
            </a:pPr>
            <a:endParaRPr lang="en-US"/>
          </a:p>
        </c:txPr>
        <c:crossAx val="600972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Helvetica Neue" panose="02000503000000020004" pitchFamily="2" charset="0"/>
          <a:ea typeface="Helvetica Neue" panose="02000503000000020004" pitchFamily="2" charset="0"/>
          <a:cs typeface="Helvetica Neue" panose="02000503000000020004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Helvetica Neue" panose="02000503000000020004" pitchFamily="2" charset="0"/>
              <a:ea typeface="Helvetica Neue" panose="02000503000000020004" pitchFamily="2" charset="0"/>
              <a:cs typeface="Helvetica Neue" panose="02000503000000020004" pitchFamily="2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flat" cmpd="sng" algn="ctr">
              <a:noFill/>
              <a:prstDash val="sysDot"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marker>
          <c:xVal>
            <c:numRef>
              <c:f>'volume(theta)'!$J$14:$J$32</c:f>
              <c:numCache>
                <c:formatCode>General</c:formatCode>
                <c:ptCount val="1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</c:numCache>
            </c:numRef>
          </c:xVal>
          <c:yVal>
            <c:numRef>
              <c:f>'volume(theta)'!$K$14:$K$32</c:f>
              <c:numCache>
                <c:formatCode>0.00000</c:formatCode>
                <c:ptCount val="19"/>
                <c:pt idx="0">
                  <c:v>0</c:v>
                </c:pt>
                <c:pt idx="1">
                  <c:v>1.0843114178421557E-5</c:v>
                </c:pt>
                <c:pt idx="2">
                  <c:v>1.7217393244438469E-4</c:v>
                </c:pt>
                <c:pt idx="3">
                  <c:v>8.6063705980068364E-4</c:v>
                </c:pt>
                <c:pt idx="4">
                  <c:v>2.6721131276986813E-3</c:v>
                </c:pt>
                <c:pt idx="5">
                  <c:v>6.3762356414735471E-3</c:v>
                </c:pt>
                <c:pt idx="6">
                  <c:v>1.28571674196715E-2</c:v>
                </c:pt>
                <c:pt idx="7">
                  <c:v>2.3044722785962448E-2</c:v>
                </c:pt>
                <c:pt idx="8">
                  <c:v>3.7840593439536316E-2</c:v>
                </c:pt>
                <c:pt idx="9">
                  <c:v>5.8044783071499108E-2</c:v>
                </c:pt>
                <c:pt idx="10">
                  <c:v>8.4287354561175629E-2</c:v>
                </c:pt>
                <c:pt idx="11">
                  <c:v>0.11697024396262135</c:v>
                </c:pt>
                <c:pt idx="12">
                  <c:v>0.1562232212019361</c:v>
                </c:pt>
                <c:pt idx="13">
                  <c:v>0.20187712429723256</c:v>
                </c:pt>
                <c:pt idx="14">
                  <c:v>0.25345632683311448</c:v>
                </c:pt>
                <c:pt idx="15">
                  <c:v>0.31019109680162654</c:v>
                </c:pt>
                <c:pt idx="16">
                  <c:v>0.37104915736641253</c:v>
                </c:pt>
                <c:pt idx="17">
                  <c:v>0.43478445835837476</c:v>
                </c:pt>
                <c:pt idx="18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FB-AE42-A45B-4D7B8E5F7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593135"/>
        <c:axId val="142482671"/>
      </c:scatterChart>
      <c:valAx>
        <c:axId val="136593135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Helvetica Neue" panose="02000503000000020004" pitchFamily="2" charset="0"/>
                <a:ea typeface="Helvetica Neue" panose="02000503000000020004" pitchFamily="2" charset="0"/>
                <a:cs typeface="Helvetica Neue" panose="02000503000000020004" pitchFamily="2" charset="0"/>
              </a:defRPr>
            </a:pPr>
            <a:endParaRPr lang="en-US"/>
          </a:p>
        </c:txPr>
        <c:crossAx val="142482671"/>
        <c:crosses val="autoZero"/>
        <c:crossBetween val="midCat"/>
      </c:valAx>
      <c:valAx>
        <c:axId val="142482671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Helvetica Neue" panose="02000503000000020004" pitchFamily="2" charset="0"/>
                <a:ea typeface="Helvetica Neue" panose="02000503000000020004" pitchFamily="2" charset="0"/>
                <a:cs typeface="Helvetica Neue" panose="02000503000000020004" pitchFamily="2" charset="0"/>
              </a:defRPr>
            </a:pPr>
            <a:endParaRPr lang="en-US"/>
          </a:p>
        </c:txPr>
        <c:crossAx val="136593135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Helvetica Neue" panose="02000503000000020004" pitchFamily="2" charset="0"/>
          <a:ea typeface="Helvetica Neue" panose="02000503000000020004" pitchFamily="2" charset="0"/>
          <a:cs typeface="Helvetica Neue" panose="02000503000000020004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Helvetica Neue" panose="02000503000000020004" pitchFamily="2" charset="0"/>
              <a:ea typeface="Helvetica Neue" panose="02000503000000020004" pitchFamily="2" charset="0"/>
              <a:cs typeface="Helvetica Neue" panose="02000503000000020004" pitchFamily="2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'lambda nm'!$F$22:$F$30</c:f>
              <c:numCache>
                <c:formatCode>General</c:formatCode>
                <c:ptCount val="9"/>
                <c:pt idx="0">
                  <c:v>200</c:v>
                </c:pt>
                <c:pt idx="1">
                  <c:v>300</c:v>
                </c:pt>
                <c:pt idx="2">
                  <c:v>400</c:v>
                </c:pt>
                <c:pt idx="3">
                  <c:v>500</c:v>
                </c:pt>
                <c:pt idx="4">
                  <c:v>600</c:v>
                </c:pt>
                <c:pt idx="5">
                  <c:v>700</c:v>
                </c:pt>
                <c:pt idx="6">
                  <c:v>800</c:v>
                </c:pt>
                <c:pt idx="7">
                  <c:v>900</c:v>
                </c:pt>
                <c:pt idx="8">
                  <c:v>1000</c:v>
                </c:pt>
              </c:numCache>
            </c:numRef>
          </c:xVal>
          <c:yVal>
            <c:numRef>
              <c:f>'lambda nm'!$L$22:$L$30</c:f>
              <c:numCache>
                <c:formatCode>0.00</c:formatCode>
                <c:ptCount val="9"/>
                <c:pt idx="0">
                  <c:v>6.1981123595505618</c:v>
                </c:pt>
                <c:pt idx="1">
                  <c:v>4.1320749063670412</c:v>
                </c:pt>
                <c:pt idx="2">
                  <c:v>3.0990561797752809</c:v>
                </c:pt>
                <c:pt idx="3">
                  <c:v>2.4792449438202246</c:v>
                </c:pt>
                <c:pt idx="4">
                  <c:v>2.0660374531835206</c:v>
                </c:pt>
                <c:pt idx="5">
                  <c:v>1.7708892455858749</c:v>
                </c:pt>
                <c:pt idx="6">
                  <c:v>1.5495280898876405</c:v>
                </c:pt>
                <c:pt idx="7">
                  <c:v>1.377358302122347</c:v>
                </c:pt>
                <c:pt idx="8">
                  <c:v>1.2396224719101123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B3-974C-8863-7944C2EE2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5650783"/>
        <c:axId val="1391846511"/>
      </c:scatterChart>
      <c:valAx>
        <c:axId val="1335650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 Neue" panose="02000503000000020004" pitchFamily="2" charset="0"/>
                <a:ea typeface="Helvetica Neue" panose="02000503000000020004" pitchFamily="2" charset="0"/>
                <a:cs typeface="Helvetica Neue" panose="02000503000000020004" pitchFamily="2" charset="0"/>
              </a:defRPr>
            </a:pPr>
            <a:endParaRPr lang="en-US"/>
          </a:p>
        </c:txPr>
        <c:crossAx val="1391846511"/>
        <c:crosses val="autoZero"/>
        <c:crossBetween val="midCat"/>
      </c:valAx>
      <c:valAx>
        <c:axId val="1391846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 Neue" panose="02000503000000020004" pitchFamily="2" charset="0"/>
                <a:ea typeface="Helvetica Neue" panose="02000503000000020004" pitchFamily="2" charset="0"/>
                <a:cs typeface="Helvetica Neue" panose="02000503000000020004" pitchFamily="2" charset="0"/>
              </a:defRPr>
            </a:pPr>
            <a:endParaRPr lang="en-US"/>
          </a:p>
        </c:txPr>
        <c:crossAx val="1335650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Helvetica Neue" panose="02000503000000020004" pitchFamily="2" charset="0"/>
          <a:ea typeface="Helvetica Neue" panose="02000503000000020004" pitchFamily="2" charset="0"/>
          <a:cs typeface="Helvetica Neue" panose="02000503000000020004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/>
    <cs:effectRef idx="1"/>
    <cs:fontRef idx="minor">
      <a:schemeClr val="dk1"/>
    </cs:fontRef>
    <cs:spPr>
      <a:ln w="9525" cap="flat" cmpd="sng" algn="ctr">
        <a:solidFill>
          <a:schemeClr val="phClr">
            <a:alpha val="70000"/>
          </a:schemeClr>
        </a:solidFill>
        <a:prstDash val="sysDot"/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rnd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0" baseline="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>
              <a:alpha val="0"/>
            </a:schemeClr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5000"/>
            <a:lumOff val="75000"/>
          </a:schemeClr>
        </a:solidFill>
        <a:round/>
      </a:ln>
    </cs:spPr>
    <cs:defRPr sz="900" kern="1200" spc="0" baseline="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chart" Target="../charts/chart4.xml"/><Relationship Id="rId1" Type="http://schemas.openxmlformats.org/officeDocument/2006/relationships/image" Target="../media/image8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4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952499</xdr:colOff>
      <xdr:row>2</xdr:row>
      <xdr:rowOff>0</xdr:rowOff>
    </xdr:from>
    <xdr:to>
      <xdr:col>6</xdr:col>
      <xdr:colOff>331106</xdr:colOff>
      <xdr:row>7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F39D6D-0C40-524C-8279-E3C7F9FC1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9999" y="381000"/>
          <a:ext cx="2236107" cy="1079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9</xdr:col>
      <xdr:colOff>116840</xdr:colOff>
      <xdr:row>7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2D4ACF-68ED-C04F-89F1-40A77B387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0" y="571500"/>
          <a:ext cx="4879340" cy="8636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5</xdr:col>
      <xdr:colOff>685800</xdr:colOff>
      <xdr:row>14</xdr:row>
      <xdr:rowOff>104468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9A6F24-4802-334D-B2C7-54932D601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0" y="1714500"/>
          <a:ext cx="1638300" cy="1056968"/>
        </a:xfrm>
        <a:prstGeom prst="rect">
          <a:avLst/>
        </a:prstGeom>
      </xdr:spPr>
    </xdr:pic>
    <xdr:clientData/>
  </xdr:twoCellAnchor>
  <xdr:twoCellAnchor>
    <xdr:from>
      <xdr:col>0</xdr:col>
      <xdr:colOff>641350</xdr:colOff>
      <xdr:row>12</xdr:row>
      <xdr:rowOff>177800</xdr:rowOff>
    </xdr:from>
    <xdr:to>
      <xdr:col>5</xdr:col>
      <xdr:colOff>450850</xdr:colOff>
      <xdr:row>27</xdr:row>
      <xdr:rowOff>63500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F7724BC-0C8B-8F4A-A49F-8087D74DD2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901700</xdr:colOff>
      <xdr:row>53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838047-7A16-5C49-B2E9-A029DE18C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00" y="9715500"/>
          <a:ext cx="901700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5</xdr:col>
      <xdr:colOff>114300</xdr:colOff>
      <xdr:row>58</xdr:row>
      <xdr:rowOff>88900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46E2EDA-D7CF-B44A-9D0E-BDFDEA252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00" y="10668000"/>
          <a:ext cx="1066800" cy="469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952499</xdr:colOff>
      <xdr:row>5</xdr:row>
      <xdr:rowOff>0</xdr:rowOff>
    </xdr:from>
    <xdr:to>
      <xdr:col>6</xdr:col>
      <xdr:colOff>740832</xdr:colOff>
      <xdr:row>8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D3EA9-927B-A84C-A3CD-C305AAD55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499" y="762000"/>
          <a:ext cx="1439333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25399</xdr:colOff>
      <xdr:row>7</xdr:row>
      <xdr:rowOff>139700</xdr:rowOff>
    </xdr:from>
    <xdr:to>
      <xdr:col>6</xdr:col>
      <xdr:colOff>226482</xdr:colOff>
      <xdr:row>11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E64F21-E108-F645-A8F1-3AF6FD176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87899" y="1282700"/>
          <a:ext cx="899583" cy="647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733677</xdr:colOff>
      <xdr:row>57</xdr:row>
      <xdr:rowOff>113112</xdr:rowOff>
    </xdr:from>
    <xdr:to>
      <xdr:col>13</xdr:col>
      <xdr:colOff>554598</xdr:colOff>
      <xdr:row>71</xdr:row>
      <xdr:rowOff>170125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58F3AC9-73B1-7F3F-CB75-3CA8BE8B2B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770223</xdr:colOff>
      <xdr:row>6</xdr:row>
      <xdr:rowOff>149659</xdr:rowOff>
    </xdr:from>
    <xdr:to>
      <xdr:col>15</xdr:col>
      <xdr:colOff>591144</xdr:colOff>
      <xdr:row>20</xdr:row>
      <xdr:rowOff>142715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0AD71D-D447-C3BB-1A84-A478A70099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546099</xdr:colOff>
      <xdr:row>5</xdr:row>
      <xdr:rowOff>76200</xdr:rowOff>
    </xdr:from>
    <xdr:to>
      <xdr:col>6</xdr:col>
      <xdr:colOff>812800</xdr:colOff>
      <xdr:row>8</xdr:row>
      <xdr:rowOff>174172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C0D01D-E77C-C645-B38D-990618912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3599" y="1028700"/>
          <a:ext cx="3124201" cy="669472"/>
        </a:xfrm>
        <a:prstGeom prst="rect">
          <a:avLst/>
        </a:prstGeom>
      </xdr:spPr>
    </xdr:pic>
    <xdr:clientData/>
  </xdr:twoCellAnchor>
  <xdr:twoCellAnchor>
    <xdr:from>
      <xdr:col>9</xdr:col>
      <xdr:colOff>819150</xdr:colOff>
      <xdr:row>33</xdr:row>
      <xdr:rowOff>76200</xdr:rowOff>
    </xdr:from>
    <xdr:to>
      <xdr:col>14</xdr:col>
      <xdr:colOff>628650</xdr:colOff>
      <xdr:row>47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646706-A18A-7A40-8692-30E008EDE5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889000</xdr:colOff>
      <xdr:row>5</xdr:row>
      <xdr:rowOff>114300</xdr:rowOff>
    </xdr:from>
    <xdr:to>
      <xdr:col>11</xdr:col>
      <xdr:colOff>177800</xdr:colOff>
      <xdr:row>11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021708-8FDD-2549-ADFE-98F4BCF7B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6500" y="1066800"/>
          <a:ext cx="3213100" cy="1092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721591</xdr:colOff>
      <xdr:row>0</xdr:row>
      <xdr:rowOff>0</xdr:rowOff>
    </xdr:from>
    <xdr:to>
      <xdr:col>11</xdr:col>
      <xdr:colOff>659243</xdr:colOff>
      <xdr:row>7</xdr:row>
      <xdr:rowOff>67349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ACE86A-5393-B0DB-121A-315BE084A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2046" y="0"/>
          <a:ext cx="4921440" cy="142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</xdr:row>
      <xdr:rowOff>0</xdr:rowOff>
    </xdr:from>
    <xdr:to>
      <xdr:col>6</xdr:col>
      <xdr:colOff>342900</xdr:colOff>
      <xdr:row>3</xdr:row>
      <xdr:rowOff>88900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7A874B0F-597F-7730-6713-FE381BACC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190500"/>
          <a:ext cx="224790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10</xdr:row>
      <xdr:rowOff>192423</xdr:rowOff>
    </xdr:from>
    <xdr:to>
      <xdr:col>11</xdr:col>
      <xdr:colOff>413712</xdr:colOff>
      <xdr:row>15</xdr:row>
      <xdr:rowOff>10995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61594D-3C85-534B-B436-52674035B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84773" y="2126287"/>
          <a:ext cx="1366212" cy="7806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13</xdr:col>
      <xdr:colOff>296490</xdr:colOff>
      <xdr:row>12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7CDCCE-4EFB-4142-8F8F-22EB1BC37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571500"/>
          <a:ext cx="5058990" cy="1854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7</xdr:col>
      <xdr:colOff>482600</xdr:colOff>
      <xdr:row>11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E4A979-3FE2-5D43-8D1D-904990BA0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0" y="952500"/>
          <a:ext cx="2387600" cy="1193800"/>
        </a:xfrm>
        <a:prstGeom prst="rect">
          <a:avLst/>
        </a:prstGeom>
      </xdr:spPr>
    </xdr:pic>
    <xdr:clientData/>
  </xdr:twoCellAnchor>
  <xdr:twoCellAnchor>
    <xdr:from>
      <xdr:col>9</xdr:col>
      <xdr:colOff>381000</xdr:colOff>
      <xdr:row>2</xdr:row>
      <xdr:rowOff>95250</xdr:rowOff>
    </xdr:from>
    <xdr:to>
      <xdr:col>14</xdr:col>
      <xdr:colOff>190500</xdr:colOff>
      <xdr:row>16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5F672A-94C8-7942-9E48-4F2518937E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3</xdr:row>
      <xdr:rowOff>87728</xdr:rowOff>
    </xdr:from>
    <xdr:to>
      <xdr:col>5</xdr:col>
      <xdr:colOff>622300</xdr:colOff>
      <xdr:row>4</xdr:row>
      <xdr:rowOff>162560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27476D-574E-5841-80A8-7A406A258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2900" y="659228"/>
          <a:ext cx="1231900" cy="265332"/>
        </a:xfrm>
        <a:prstGeom prst="rect">
          <a:avLst/>
        </a:prstGeom>
      </xdr:spPr>
    </xdr:pic>
    <xdr:clientData/>
  </xdr:twoCellAnchor>
  <xdr:twoCellAnchor editAs="oneCell">
    <xdr:from>
      <xdr:col>3</xdr:col>
      <xdr:colOff>373743</xdr:colOff>
      <xdr:row>5</xdr:row>
      <xdr:rowOff>63500</xdr:rowOff>
    </xdr:from>
    <xdr:to>
      <xdr:col>6</xdr:col>
      <xdr:colOff>419100</xdr:colOff>
      <xdr:row>13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35243C-FD69-CD45-88D6-2836359EA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1243" y="1016000"/>
          <a:ext cx="2902857" cy="1460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D861-A63D-4D4A-97FF-3ADDD7F2F729}">
  <dimension ref="B4:D18"/>
  <sheetViews>
    <sheetView workbookViewId="0">
      <selection activeCell="E27" sqref="E27"/>
    </sheetView>
  </sheetViews>
  <sheetFormatPr baseColWidth="10" defaultRowHeight="15" x14ac:dyDescent="0.2"/>
  <cols>
    <col min="3" max="3" width="16.28515625" customWidth="1"/>
  </cols>
  <sheetData>
    <row r="4" spans="2:4" x14ac:dyDescent="0.2">
      <c r="B4" t="s">
        <v>5</v>
      </c>
      <c r="C4" t="s">
        <v>6</v>
      </c>
    </row>
    <row r="11" spans="2:4" x14ac:dyDescent="0.2">
      <c r="B11" t="s">
        <v>0</v>
      </c>
      <c r="C11">
        <v>0.5</v>
      </c>
    </row>
    <row r="12" spans="2:4" x14ac:dyDescent="0.2">
      <c r="B12" t="s">
        <v>1</v>
      </c>
      <c r="C12">
        <v>10</v>
      </c>
      <c r="D12" t="s">
        <v>2</v>
      </c>
    </row>
    <row r="13" spans="2:4" x14ac:dyDescent="0.2">
      <c r="C13">
        <f>C12*0.000000001</f>
        <v>1E-8</v>
      </c>
      <c r="D13" t="s">
        <v>8</v>
      </c>
    </row>
    <row r="15" spans="2:4" ht="17" x14ac:dyDescent="0.2">
      <c r="B15" t="s">
        <v>3</v>
      </c>
      <c r="C15">
        <v>3</v>
      </c>
      <c r="D15" t="s">
        <v>4</v>
      </c>
    </row>
    <row r="16" spans="2:4" x14ac:dyDescent="0.2">
      <c r="C16">
        <f>C15*1000000</f>
        <v>3000000</v>
      </c>
      <c r="D16" t="s">
        <v>7</v>
      </c>
    </row>
    <row r="18" spans="2:4" x14ac:dyDescent="0.2">
      <c r="B18" t="s">
        <v>5</v>
      </c>
      <c r="C18">
        <f>6*C11/(C13*C16*(1-C11))</f>
        <v>199.99999999999997</v>
      </c>
      <c r="D18" t="s">
        <v>6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73DB3-6774-2048-B78E-952189E45A06}">
  <sheetPr>
    <pageSetUpPr fitToPage="1"/>
  </sheetPr>
  <dimension ref="D15:M57"/>
  <sheetViews>
    <sheetView topLeftCell="A80" workbookViewId="0">
      <selection activeCell="G64" sqref="G64"/>
    </sheetView>
  </sheetViews>
  <sheetFormatPr baseColWidth="10" defaultRowHeight="15" x14ac:dyDescent="0.2"/>
  <cols>
    <col min="7" max="7" width="10.7109375" style="10"/>
  </cols>
  <sheetData>
    <row r="15" spans="4:5" x14ac:dyDescent="0.2">
      <c r="D15" t="s">
        <v>127</v>
      </c>
      <c r="E15">
        <v>1</v>
      </c>
    </row>
    <row r="17" spans="4:13" x14ac:dyDescent="0.2">
      <c r="D17" t="s">
        <v>1</v>
      </c>
      <c r="E17" t="s">
        <v>124</v>
      </c>
      <c r="F17" t="s">
        <v>124</v>
      </c>
      <c r="G17" s="10" t="s">
        <v>117</v>
      </c>
      <c r="H17" t="s">
        <v>124</v>
      </c>
      <c r="I17" t="s">
        <v>124</v>
      </c>
      <c r="J17" t="s">
        <v>117</v>
      </c>
      <c r="K17" t="s">
        <v>124</v>
      </c>
      <c r="L17" t="s">
        <v>124</v>
      </c>
      <c r="M17" t="s">
        <v>117</v>
      </c>
    </row>
    <row r="18" spans="4:13" x14ac:dyDescent="0.2">
      <c r="D18" t="s">
        <v>2</v>
      </c>
      <c r="E18" t="s">
        <v>125</v>
      </c>
      <c r="F18" t="s">
        <v>126</v>
      </c>
      <c r="G18" s="10" t="s">
        <v>2</v>
      </c>
      <c r="H18" t="s">
        <v>125</v>
      </c>
      <c r="I18" t="s">
        <v>126</v>
      </c>
      <c r="J18" t="s">
        <v>2</v>
      </c>
      <c r="K18" t="s">
        <v>125</v>
      </c>
      <c r="L18" t="s">
        <v>126</v>
      </c>
      <c r="M18" t="s">
        <v>2</v>
      </c>
    </row>
    <row r="20" spans="4:13" x14ac:dyDescent="0.2">
      <c r="D20">
        <v>0.1</v>
      </c>
      <c r="E20">
        <v>10</v>
      </c>
      <c r="F20">
        <f>E20*3.141/180</f>
        <v>0.17449999999999999</v>
      </c>
      <c r="G20" s="10">
        <f>2*J20*SIN(F20)</f>
        <v>1.735860487952251E-2</v>
      </c>
      <c r="H20">
        <v>30</v>
      </c>
      <c r="I20">
        <f>H20*3.141/180</f>
        <v>0.52350000000000008</v>
      </c>
      <c r="J20" s="11">
        <f>D20*SIN(I20)</f>
        <v>4.9991445538358367E-2</v>
      </c>
      <c r="K20">
        <v>60</v>
      </c>
      <c r="L20">
        <f>K20*3.141/180</f>
        <v>1.0470000000000002</v>
      </c>
      <c r="M20" s="11">
        <f>2*D20*SIN(L20)</f>
        <v>0.17318532225756458</v>
      </c>
    </row>
    <row r="21" spans="4:13" x14ac:dyDescent="0.2">
      <c r="D21">
        <f>D20+0.5</f>
        <v>0.6</v>
      </c>
      <c r="E21">
        <v>10</v>
      </c>
      <c r="F21">
        <f t="shared" ref="F21:F29" si="0">E21*3.141/180</f>
        <v>0.17449999999999999</v>
      </c>
      <c r="G21" s="10">
        <f t="shared" ref="G21:G29" si="1">2*J21*SIN(F21)</f>
        <v>0.10415162927713505</v>
      </c>
      <c r="H21">
        <v>30</v>
      </c>
      <c r="I21">
        <f t="shared" ref="I21:I29" si="2">H21*3.141/180</f>
        <v>0.52350000000000008</v>
      </c>
      <c r="J21" s="11">
        <f t="shared" ref="J21:J29" si="3">D21*SIN(I21)</f>
        <v>0.29994867323015018</v>
      </c>
      <c r="K21">
        <v>60</v>
      </c>
      <c r="L21">
        <f t="shared" ref="L21:L29" si="4">K21*3.141/180</f>
        <v>1.0470000000000002</v>
      </c>
      <c r="M21" s="11">
        <f t="shared" ref="M21:M29" si="5">2*D21*SIN(L21)</f>
        <v>1.0391119335453873</v>
      </c>
    </row>
    <row r="22" spans="4:13" x14ac:dyDescent="0.2">
      <c r="D22">
        <f t="shared" ref="D22:D29" si="6">D21+0.5</f>
        <v>1.1000000000000001</v>
      </c>
      <c r="E22">
        <v>10</v>
      </c>
      <c r="F22">
        <f t="shared" si="0"/>
        <v>0.17449999999999999</v>
      </c>
      <c r="G22" s="10">
        <f t="shared" si="1"/>
        <v>0.19094465367474761</v>
      </c>
      <c r="H22">
        <v>30</v>
      </c>
      <c r="I22">
        <f t="shared" si="2"/>
        <v>0.52350000000000008</v>
      </c>
      <c r="J22" s="11">
        <f t="shared" si="3"/>
        <v>0.54990590092194203</v>
      </c>
      <c r="K22">
        <v>60</v>
      </c>
      <c r="L22">
        <f t="shared" si="4"/>
        <v>1.0470000000000002</v>
      </c>
      <c r="M22" s="11">
        <f t="shared" si="5"/>
        <v>1.9050385448332106</v>
      </c>
    </row>
    <row r="23" spans="4:13" x14ac:dyDescent="0.2">
      <c r="D23">
        <f t="shared" si="6"/>
        <v>1.6</v>
      </c>
      <c r="E23">
        <v>10</v>
      </c>
      <c r="F23">
        <f t="shared" si="0"/>
        <v>0.17449999999999999</v>
      </c>
      <c r="G23" s="10">
        <f t="shared" si="1"/>
        <v>0.27773767807236016</v>
      </c>
      <c r="H23">
        <v>30</v>
      </c>
      <c r="I23">
        <f t="shared" si="2"/>
        <v>0.52350000000000008</v>
      </c>
      <c r="J23" s="11">
        <f t="shared" si="3"/>
        <v>0.79986312861373388</v>
      </c>
      <c r="K23">
        <v>60</v>
      </c>
      <c r="L23">
        <f t="shared" si="4"/>
        <v>1.0470000000000002</v>
      </c>
      <c r="M23" s="11">
        <f t="shared" si="5"/>
        <v>2.7709651561210333</v>
      </c>
    </row>
    <row r="24" spans="4:13" x14ac:dyDescent="0.2">
      <c r="D24">
        <f t="shared" si="6"/>
        <v>2.1</v>
      </c>
      <c r="E24">
        <v>10</v>
      </c>
      <c r="F24">
        <f t="shared" si="0"/>
        <v>0.17449999999999999</v>
      </c>
      <c r="G24" s="10">
        <f t="shared" si="1"/>
        <v>0.36453070246997271</v>
      </c>
      <c r="H24">
        <v>30</v>
      </c>
      <c r="I24">
        <f t="shared" si="2"/>
        <v>0.52350000000000008</v>
      </c>
      <c r="J24" s="11">
        <f t="shared" si="3"/>
        <v>1.0498203563055257</v>
      </c>
      <c r="K24">
        <v>60</v>
      </c>
      <c r="L24">
        <f t="shared" si="4"/>
        <v>1.0470000000000002</v>
      </c>
      <c r="M24" s="11">
        <f t="shared" si="5"/>
        <v>3.6368917674088563</v>
      </c>
    </row>
    <row r="25" spans="4:13" x14ac:dyDescent="0.2">
      <c r="D25">
        <f t="shared" si="6"/>
        <v>2.6</v>
      </c>
      <c r="E25">
        <v>10</v>
      </c>
      <c r="F25">
        <f t="shared" si="0"/>
        <v>0.17449999999999999</v>
      </c>
      <c r="G25" s="10">
        <f t="shared" si="1"/>
        <v>0.45132372686758526</v>
      </c>
      <c r="H25">
        <v>30</v>
      </c>
      <c r="I25">
        <f t="shared" si="2"/>
        <v>0.52350000000000008</v>
      </c>
      <c r="J25" s="11">
        <f t="shared" si="3"/>
        <v>1.2997775839973176</v>
      </c>
      <c r="K25">
        <v>60</v>
      </c>
      <c r="L25">
        <f t="shared" si="4"/>
        <v>1.0470000000000002</v>
      </c>
      <c r="M25" s="11">
        <f t="shared" si="5"/>
        <v>4.5028183786966789</v>
      </c>
    </row>
    <row r="26" spans="4:13" x14ac:dyDescent="0.2">
      <c r="D26">
        <f t="shared" si="6"/>
        <v>3.1</v>
      </c>
      <c r="E26">
        <v>10</v>
      </c>
      <c r="F26">
        <f t="shared" si="0"/>
        <v>0.17449999999999999</v>
      </c>
      <c r="G26" s="10">
        <f t="shared" si="1"/>
        <v>0.53811675126519787</v>
      </c>
      <c r="H26">
        <v>30</v>
      </c>
      <c r="I26">
        <f t="shared" si="2"/>
        <v>0.52350000000000008</v>
      </c>
      <c r="J26" s="11">
        <f t="shared" si="3"/>
        <v>1.5497348116891094</v>
      </c>
      <c r="K26">
        <v>60</v>
      </c>
      <c r="L26">
        <f t="shared" si="4"/>
        <v>1.0470000000000002</v>
      </c>
      <c r="M26" s="11">
        <f t="shared" si="5"/>
        <v>5.3687449899845019</v>
      </c>
    </row>
    <row r="27" spans="4:13" x14ac:dyDescent="0.2">
      <c r="D27">
        <f t="shared" si="6"/>
        <v>3.6</v>
      </c>
      <c r="E27">
        <v>10</v>
      </c>
      <c r="F27">
        <f t="shared" si="0"/>
        <v>0.17449999999999999</v>
      </c>
      <c r="G27" s="10">
        <f t="shared" si="1"/>
        <v>0.62490977566281025</v>
      </c>
      <c r="H27">
        <v>30</v>
      </c>
      <c r="I27">
        <f t="shared" si="2"/>
        <v>0.52350000000000008</v>
      </c>
      <c r="J27" s="11">
        <f t="shared" si="3"/>
        <v>1.7996920393809011</v>
      </c>
      <c r="K27">
        <v>60</v>
      </c>
      <c r="L27">
        <f t="shared" si="4"/>
        <v>1.0470000000000002</v>
      </c>
      <c r="M27" s="11">
        <f t="shared" si="5"/>
        <v>6.2346716012723249</v>
      </c>
    </row>
    <row r="28" spans="4:13" x14ac:dyDescent="0.2">
      <c r="D28">
        <f t="shared" si="6"/>
        <v>4.0999999999999996</v>
      </c>
      <c r="E28">
        <v>10</v>
      </c>
      <c r="F28">
        <f t="shared" si="0"/>
        <v>0.17449999999999999</v>
      </c>
      <c r="G28" s="10">
        <f t="shared" si="1"/>
        <v>0.71170280006042286</v>
      </c>
      <c r="H28">
        <v>30</v>
      </c>
      <c r="I28">
        <f t="shared" si="2"/>
        <v>0.52350000000000008</v>
      </c>
      <c r="J28" s="11">
        <f t="shared" si="3"/>
        <v>2.0496492670726929</v>
      </c>
      <c r="K28">
        <v>60</v>
      </c>
      <c r="L28">
        <f t="shared" si="4"/>
        <v>1.0470000000000002</v>
      </c>
      <c r="M28" s="11">
        <f t="shared" si="5"/>
        <v>7.100598212560147</v>
      </c>
    </row>
    <row r="29" spans="4:13" x14ac:dyDescent="0.2">
      <c r="D29">
        <f t="shared" si="6"/>
        <v>4.5999999999999996</v>
      </c>
      <c r="E29">
        <v>10</v>
      </c>
      <c r="F29">
        <f t="shared" si="0"/>
        <v>0.17449999999999999</v>
      </c>
      <c r="G29" s="10">
        <f t="shared" si="1"/>
        <v>0.79849582445803535</v>
      </c>
      <c r="H29">
        <v>30</v>
      </c>
      <c r="I29">
        <f t="shared" si="2"/>
        <v>0.52350000000000008</v>
      </c>
      <c r="J29" s="11">
        <f t="shared" si="3"/>
        <v>2.2996064947644848</v>
      </c>
      <c r="K29">
        <v>60</v>
      </c>
      <c r="L29">
        <f t="shared" si="4"/>
        <v>1.0470000000000002</v>
      </c>
      <c r="M29" s="11">
        <f t="shared" si="5"/>
        <v>7.96652482384797</v>
      </c>
    </row>
    <row r="31" spans="4:13" x14ac:dyDescent="0.2">
      <c r="D31" t="s">
        <v>1</v>
      </c>
      <c r="E31" t="s">
        <v>124</v>
      </c>
      <c r="F31" t="s">
        <v>124</v>
      </c>
      <c r="G31" s="10" t="s">
        <v>117</v>
      </c>
    </row>
    <row r="32" spans="4:13" x14ac:dyDescent="0.2">
      <c r="D32" t="s">
        <v>2</v>
      </c>
      <c r="E32" t="s">
        <v>125</v>
      </c>
      <c r="F32" t="s">
        <v>126</v>
      </c>
      <c r="G32" s="10" t="s">
        <v>2</v>
      </c>
    </row>
    <row r="34" spans="4:7" x14ac:dyDescent="0.2">
      <c r="D34">
        <v>0.1</v>
      </c>
      <c r="E34">
        <v>30</v>
      </c>
      <c r="F34">
        <v>0.52350000000000008</v>
      </c>
      <c r="G34" s="10">
        <v>4.9991445538358367E-2</v>
      </c>
    </row>
    <row r="35" spans="4:7" x14ac:dyDescent="0.2">
      <c r="D35">
        <f>D34+0.5</f>
        <v>0.6</v>
      </c>
      <c r="E35">
        <v>30</v>
      </c>
      <c r="F35">
        <v>0.52350000000000008</v>
      </c>
      <c r="G35" s="10">
        <v>0.29994867323015018</v>
      </c>
    </row>
    <row r="36" spans="4:7" x14ac:dyDescent="0.2">
      <c r="D36">
        <f t="shared" ref="D36:D43" si="7">D35+0.5</f>
        <v>1.1000000000000001</v>
      </c>
      <c r="E36">
        <v>30</v>
      </c>
      <c r="F36">
        <v>0.52350000000000008</v>
      </c>
      <c r="G36" s="10">
        <v>0.54990590092194203</v>
      </c>
    </row>
    <row r="37" spans="4:7" x14ac:dyDescent="0.2">
      <c r="D37">
        <f t="shared" si="7"/>
        <v>1.6</v>
      </c>
      <c r="E37">
        <v>30</v>
      </c>
      <c r="F37">
        <v>0.52350000000000008</v>
      </c>
      <c r="G37" s="10">
        <v>0.79986312861373388</v>
      </c>
    </row>
    <row r="38" spans="4:7" x14ac:dyDescent="0.2">
      <c r="D38">
        <f t="shared" si="7"/>
        <v>2.1</v>
      </c>
      <c r="E38">
        <v>30</v>
      </c>
      <c r="F38">
        <v>0.52350000000000008</v>
      </c>
      <c r="G38" s="10">
        <v>1.0498203563055257</v>
      </c>
    </row>
    <row r="39" spans="4:7" x14ac:dyDescent="0.2">
      <c r="D39">
        <f t="shared" si="7"/>
        <v>2.6</v>
      </c>
      <c r="E39">
        <v>30</v>
      </c>
      <c r="F39">
        <v>0.52350000000000008</v>
      </c>
      <c r="G39" s="10">
        <v>1.2997775839973176</v>
      </c>
    </row>
    <row r="40" spans="4:7" x14ac:dyDescent="0.2">
      <c r="D40">
        <f t="shared" si="7"/>
        <v>3.1</v>
      </c>
      <c r="E40">
        <v>30</v>
      </c>
      <c r="F40">
        <v>0.52350000000000008</v>
      </c>
      <c r="G40" s="10">
        <v>1.5497348116891094</v>
      </c>
    </row>
    <row r="41" spans="4:7" x14ac:dyDescent="0.2">
      <c r="D41">
        <f t="shared" si="7"/>
        <v>3.6</v>
      </c>
      <c r="E41">
        <v>30</v>
      </c>
      <c r="F41">
        <v>0.52350000000000008</v>
      </c>
      <c r="G41" s="10">
        <v>1.7996920393809011</v>
      </c>
    </row>
    <row r="42" spans="4:7" x14ac:dyDescent="0.2">
      <c r="D42">
        <f t="shared" si="7"/>
        <v>4.0999999999999996</v>
      </c>
      <c r="E42">
        <v>30</v>
      </c>
      <c r="F42">
        <v>0.52350000000000008</v>
      </c>
      <c r="G42" s="10">
        <v>2.0496492670726929</v>
      </c>
    </row>
    <row r="43" spans="4:7" x14ac:dyDescent="0.2">
      <c r="D43">
        <f t="shared" si="7"/>
        <v>4.5999999999999996</v>
      </c>
      <c r="E43">
        <v>30</v>
      </c>
      <c r="F43">
        <v>0.52350000000000008</v>
      </c>
      <c r="G43" s="10">
        <v>2.2996064947644848</v>
      </c>
    </row>
    <row r="45" spans="4:7" x14ac:dyDescent="0.2">
      <c r="D45" t="s">
        <v>1</v>
      </c>
      <c r="E45" t="s">
        <v>124</v>
      </c>
      <c r="F45" t="s">
        <v>124</v>
      </c>
      <c r="G45" s="10" t="s">
        <v>117</v>
      </c>
    </row>
    <row r="46" spans="4:7" x14ac:dyDescent="0.2">
      <c r="D46" t="s">
        <v>2</v>
      </c>
      <c r="E46" t="s">
        <v>125</v>
      </c>
      <c r="F46" t="s">
        <v>126</v>
      </c>
      <c r="G46" s="10" t="s">
        <v>2</v>
      </c>
    </row>
    <row r="48" spans="4:7" x14ac:dyDescent="0.2">
      <c r="D48">
        <v>0.1</v>
      </c>
      <c r="E48">
        <v>60</v>
      </c>
      <c r="F48">
        <v>1.0470000000000002</v>
      </c>
      <c r="G48" s="10">
        <v>0.17318532225756458</v>
      </c>
    </row>
    <row r="49" spans="4:7" x14ac:dyDescent="0.2">
      <c r="D49">
        <f>D48+0.5</f>
        <v>0.6</v>
      </c>
      <c r="E49">
        <v>60</v>
      </c>
      <c r="F49">
        <v>1.0470000000000002</v>
      </c>
      <c r="G49" s="10">
        <v>1.0391119335453873</v>
      </c>
    </row>
    <row r="50" spans="4:7" x14ac:dyDescent="0.2">
      <c r="D50">
        <f t="shared" ref="D50:D57" si="8">D49+0.5</f>
        <v>1.1000000000000001</v>
      </c>
      <c r="E50">
        <v>60</v>
      </c>
      <c r="F50">
        <v>1.0470000000000002</v>
      </c>
      <c r="G50" s="10">
        <v>1.9050385448332106</v>
      </c>
    </row>
    <row r="51" spans="4:7" x14ac:dyDescent="0.2">
      <c r="D51">
        <f t="shared" si="8"/>
        <v>1.6</v>
      </c>
      <c r="E51">
        <v>60</v>
      </c>
      <c r="F51">
        <v>1.0470000000000002</v>
      </c>
      <c r="G51" s="10">
        <v>2.7709651561210333</v>
      </c>
    </row>
    <row r="52" spans="4:7" x14ac:dyDescent="0.2">
      <c r="D52">
        <f t="shared" si="8"/>
        <v>2.1</v>
      </c>
      <c r="E52">
        <v>60</v>
      </c>
      <c r="F52">
        <v>1.0470000000000002</v>
      </c>
      <c r="G52" s="10">
        <v>3.6368917674088563</v>
      </c>
    </row>
    <row r="53" spans="4:7" x14ac:dyDescent="0.2">
      <c r="D53">
        <f t="shared" si="8"/>
        <v>2.6</v>
      </c>
      <c r="E53">
        <v>60</v>
      </c>
      <c r="F53">
        <v>1.0470000000000002</v>
      </c>
      <c r="G53" s="10">
        <v>4.5028183786966789</v>
      </c>
    </row>
    <row r="54" spans="4:7" x14ac:dyDescent="0.2">
      <c r="D54">
        <f t="shared" si="8"/>
        <v>3.1</v>
      </c>
      <c r="E54">
        <v>60</v>
      </c>
      <c r="F54">
        <v>1.0470000000000002</v>
      </c>
      <c r="G54" s="10">
        <v>5.3687449899845019</v>
      </c>
    </row>
    <row r="55" spans="4:7" x14ac:dyDescent="0.2">
      <c r="D55">
        <f t="shared" si="8"/>
        <v>3.6</v>
      </c>
      <c r="E55">
        <v>60</v>
      </c>
      <c r="F55">
        <v>1.0470000000000002</v>
      </c>
      <c r="G55" s="10">
        <v>6.2346716012723249</v>
      </c>
    </row>
    <row r="56" spans="4:7" x14ac:dyDescent="0.2">
      <c r="D56">
        <f t="shared" si="8"/>
        <v>4.0999999999999996</v>
      </c>
      <c r="E56">
        <v>60</v>
      </c>
      <c r="F56">
        <v>1.0470000000000002</v>
      </c>
      <c r="G56" s="10">
        <v>7.100598212560147</v>
      </c>
    </row>
    <row r="57" spans="4:7" x14ac:dyDescent="0.2">
      <c r="D57">
        <f t="shared" si="8"/>
        <v>4.5999999999999996</v>
      </c>
      <c r="E57">
        <v>60</v>
      </c>
      <c r="F57">
        <v>1.0470000000000002</v>
      </c>
      <c r="G57" s="10">
        <v>7.96652482384797</v>
      </c>
    </row>
  </sheetData>
  <pageMargins left="0.7" right="0.7" top="0.75" bottom="0.75" header="0.3" footer="0.3"/>
  <pageSetup scale="87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13608-9EAE-714C-953B-799ABF157E47}">
  <dimension ref="B12:K56"/>
  <sheetViews>
    <sheetView topLeftCell="A530" workbookViewId="0">
      <selection activeCell="D59" sqref="D59"/>
    </sheetView>
  </sheetViews>
  <sheetFormatPr baseColWidth="10" defaultRowHeight="15" x14ac:dyDescent="0.2"/>
  <sheetData>
    <row r="12" spans="7:9" x14ac:dyDescent="0.2">
      <c r="G12">
        <v>0.5</v>
      </c>
    </row>
    <row r="15" spans="7:9" x14ac:dyDescent="0.2">
      <c r="G15" t="s">
        <v>9</v>
      </c>
      <c r="H15" t="s">
        <v>10</v>
      </c>
    </row>
    <row r="16" spans="7:9" x14ac:dyDescent="0.2">
      <c r="I16" t="s">
        <v>11</v>
      </c>
    </row>
    <row r="17" spans="7:11" x14ac:dyDescent="0.2">
      <c r="G17">
        <f>0</f>
        <v>0</v>
      </c>
      <c r="H17">
        <f>1+$G$12*3*G17/(1-G17)^3</f>
        <v>1</v>
      </c>
    </row>
    <row r="18" spans="7:11" x14ac:dyDescent="0.2">
      <c r="G18">
        <f>G17+0.02</f>
        <v>0.02</v>
      </c>
      <c r="H18">
        <f>1+$G$12*3*G18/(1-G18)^3</f>
        <v>1.0318744740711778</v>
      </c>
      <c r="I18">
        <f>1/G18</f>
        <v>50</v>
      </c>
      <c r="J18">
        <f>J17+0.02</f>
        <v>0.02</v>
      </c>
      <c r="K18">
        <v>50</v>
      </c>
    </row>
    <row r="19" spans="7:11" x14ac:dyDescent="0.2">
      <c r="G19">
        <f t="shared" ref="G19:G31" si="0">G18+0.02</f>
        <v>0.04</v>
      </c>
      <c r="H19">
        <f t="shared" ref="H19:H35" si="1">1+$G$12*3*G19/(1-G19)^3</f>
        <v>1.0678168402777777</v>
      </c>
      <c r="I19" s="1">
        <f t="shared" ref="I19:I32" si="2">1/G19</f>
        <v>25</v>
      </c>
      <c r="J19">
        <f t="shared" ref="J19:J31" si="3">J18+0.02</f>
        <v>0.04</v>
      </c>
      <c r="K19">
        <v>25</v>
      </c>
    </row>
    <row r="20" spans="7:11" x14ac:dyDescent="0.2">
      <c r="G20">
        <f t="shared" si="0"/>
        <v>0.06</v>
      </c>
      <c r="H20">
        <f t="shared" si="1"/>
        <v>1.1083574930410409</v>
      </c>
      <c r="I20" s="1">
        <f t="shared" si="2"/>
        <v>16.666666666666668</v>
      </c>
      <c r="J20">
        <f t="shared" si="3"/>
        <v>0.06</v>
      </c>
      <c r="K20">
        <v>16.666666666666668</v>
      </c>
    </row>
    <row r="21" spans="7:11" x14ac:dyDescent="0.2">
      <c r="G21">
        <f t="shared" si="0"/>
        <v>0.08</v>
      </c>
      <c r="H21">
        <f t="shared" si="1"/>
        <v>1.1541053669762471</v>
      </c>
      <c r="I21" s="1">
        <f t="shared" si="2"/>
        <v>12.5</v>
      </c>
      <c r="J21">
        <f t="shared" si="3"/>
        <v>0.08</v>
      </c>
      <c r="K21">
        <v>12.5</v>
      </c>
    </row>
    <row r="22" spans="7:11" x14ac:dyDescent="0.2">
      <c r="G22">
        <f t="shared" si="0"/>
        <v>0.1</v>
      </c>
      <c r="H22">
        <f t="shared" si="1"/>
        <v>1.2057613168724279</v>
      </c>
      <c r="I22" s="1">
        <f t="shared" si="2"/>
        <v>10</v>
      </c>
      <c r="J22">
        <f t="shared" si="3"/>
        <v>0.1</v>
      </c>
      <c r="K22">
        <v>10</v>
      </c>
    </row>
    <row r="23" spans="7:11" x14ac:dyDescent="0.2">
      <c r="G23">
        <f t="shared" si="0"/>
        <v>0.12000000000000001</v>
      </c>
      <c r="H23">
        <f t="shared" si="1"/>
        <v>1.2641341096919609</v>
      </c>
      <c r="I23" s="1">
        <f t="shared" si="2"/>
        <v>8.3333333333333321</v>
      </c>
      <c r="J23">
        <f t="shared" si="3"/>
        <v>0.12000000000000001</v>
      </c>
      <c r="K23">
        <v>8.3333333333333321</v>
      </c>
    </row>
    <row r="24" spans="7:11" x14ac:dyDescent="0.2">
      <c r="G24">
        <f t="shared" si="0"/>
        <v>0.14000000000000001</v>
      </c>
      <c r="H24">
        <f t="shared" si="1"/>
        <v>1.3301596085879233</v>
      </c>
      <c r="I24" s="1">
        <f t="shared" si="2"/>
        <v>7.1428571428571423</v>
      </c>
      <c r="J24">
        <f t="shared" si="3"/>
        <v>0.14000000000000001</v>
      </c>
      <c r="K24">
        <v>7.1428571428571423</v>
      </c>
    </row>
    <row r="25" spans="7:11" x14ac:dyDescent="0.2">
      <c r="G25">
        <f t="shared" si="0"/>
        <v>0.16</v>
      </c>
      <c r="H25">
        <f t="shared" si="1"/>
        <v>1.4049238743116295</v>
      </c>
      <c r="I25" s="1">
        <f t="shared" si="2"/>
        <v>6.25</v>
      </c>
      <c r="J25">
        <f t="shared" si="3"/>
        <v>0.16</v>
      </c>
      <c r="K25">
        <v>6.25</v>
      </c>
    </row>
    <row r="26" spans="7:11" x14ac:dyDescent="0.2">
      <c r="G26">
        <f t="shared" si="0"/>
        <v>0.18</v>
      </c>
      <c r="H26">
        <f t="shared" si="1"/>
        <v>1.4896910956022111</v>
      </c>
      <c r="I26" s="1">
        <f t="shared" si="2"/>
        <v>5.5555555555555554</v>
      </c>
      <c r="J26">
        <f t="shared" si="3"/>
        <v>0.18</v>
      </c>
      <c r="K26">
        <v>5.5555555555555554</v>
      </c>
    </row>
    <row r="27" spans="7:11" x14ac:dyDescent="0.2">
      <c r="G27">
        <f t="shared" si="0"/>
        <v>0.19999999999999998</v>
      </c>
      <c r="H27">
        <f t="shared" si="1"/>
        <v>1.5859375</v>
      </c>
      <c r="I27" s="1">
        <f t="shared" si="2"/>
        <v>5</v>
      </c>
      <c r="J27">
        <f t="shared" si="3"/>
        <v>0.19999999999999998</v>
      </c>
      <c r="K27">
        <v>5</v>
      </c>
    </row>
    <row r="28" spans="7:11" x14ac:dyDescent="0.2">
      <c r="G28">
        <f t="shared" si="0"/>
        <v>0.21999999999999997</v>
      </c>
      <c r="H28">
        <f t="shared" si="1"/>
        <v>1.6953927072270267</v>
      </c>
      <c r="I28" s="1">
        <f t="shared" si="2"/>
        <v>4.5454545454545459</v>
      </c>
      <c r="J28">
        <f t="shared" si="3"/>
        <v>0.21999999999999997</v>
      </c>
      <c r="K28">
        <v>4.5454545454545459</v>
      </c>
    </row>
    <row r="29" spans="7:11" x14ac:dyDescent="0.2">
      <c r="G29">
        <f t="shared" si="0"/>
        <v>0.23999999999999996</v>
      </c>
      <c r="H29">
        <f t="shared" si="1"/>
        <v>1.8200903921854494</v>
      </c>
      <c r="I29" s="1">
        <f t="shared" si="2"/>
        <v>4.166666666666667</v>
      </c>
      <c r="J29">
        <f t="shared" si="3"/>
        <v>0.23999999999999996</v>
      </c>
      <c r="K29">
        <v>4.166666666666667</v>
      </c>
    </row>
    <row r="30" spans="7:11" x14ac:dyDescent="0.2">
      <c r="G30">
        <f t="shared" si="0"/>
        <v>0.25999999999999995</v>
      </c>
      <c r="H30">
        <f t="shared" si="1"/>
        <v>1.9624306556373758</v>
      </c>
      <c r="I30" s="1">
        <f t="shared" si="2"/>
        <v>3.8461538461538467</v>
      </c>
      <c r="J30">
        <f t="shared" si="3"/>
        <v>0.25999999999999995</v>
      </c>
      <c r="K30">
        <v>3.8461538461538467</v>
      </c>
    </row>
    <row r="31" spans="7:11" x14ac:dyDescent="0.2">
      <c r="G31">
        <f t="shared" si="0"/>
        <v>0.27999999999999997</v>
      </c>
      <c r="H31">
        <f t="shared" si="1"/>
        <v>2.1252572016460904</v>
      </c>
      <c r="I31" s="1">
        <f t="shared" si="2"/>
        <v>3.5714285714285716</v>
      </c>
      <c r="J31">
        <f t="shared" si="3"/>
        <v>0.27999999999999997</v>
      </c>
      <c r="K31">
        <v>3.5714285714285716</v>
      </c>
    </row>
    <row r="32" spans="7:11" x14ac:dyDescent="0.2">
      <c r="G32">
        <f>G31+0.02</f>
        <v>0.3</v>
      </c>
      <c r="H32">
        <f t="shared" si="1"/>
        <v>2.3119533527696792</v>
      </c>
      <c r="I32" s="1">
        <f t="shared" si="2"/>
        <v>3.3333333333333335</v>
      </c>
      <c r="J32">
        <f>J31+0.02</f>
        <v>0.3</v>
      </c>
      <c r="K32">
        <v>3.3333333333333335</v>
      </c>
    </row>
    <row r="33" spans="2:8" x14ac:dyDescent="0.2">
      <c r="G33">
        <f t="shared" ref="G33:G35" si="4">G32+0.02</f>
        <v>0.32</v>
      </c>
      <c r="H33">
        <f t="shared" si="1"/>
        <v>2.5265621819662121</v>
      </c>
    </row>
    <row r="34" spans="2:8" x14ac:dyDescent="0.2">
      <c r="G34">
        <f t="shared" si="4"/>
        <v>0.34</v>
      </c>
      <c r="H34">
        <f t="shared" si="1"/>
        <v>2.7739377243509482</v>
      </c>
    </row>
    <row r="35" spans="2:8" x14ac:dyDescent="0.2">
      <c r="G35">
        <f t="shared" si="4"/>
        <v>0.36000000000000004</v>
      </c>
      <c r="H35">
        <f t="shared" si="1"/>
        <v>3.0599365234375009</v>
      </c>
    </row>
    <row r="38" spans="2:8" x14ac:dyDescent="0.2">
      <c r="B38" t="s">
        <v>12</v>
      </c>
    </row>
    <row r="40" spans="2:8" x14ac:dyDescent="0.2">
      <c r="B40" t="s">
        <v>13</v>
      </c>
      <c r="C40">
        <v>18</v>
      </c>
      <c r="D40" t="s">
        <v>14</v>
      </c>
    </row>
    <row r="41" spans="2:8" x14ac:dyDescent="0.2">
      <c r="B41" t="s">
        <v>15</v>
      </c>
      <c r="C41">
        <v>1</v>
      </c>
      <c r="D41" t="s">
        <v>16</v>
      </c>
    </row>
    <row r="42" spans="2:8" x14ac:dyDescent="0.2">
      <c r="B42" t="s">
        <v>17</v>
      </c>
      <c r="C42" s="2">
        <v>6.02E+23</v>
      </c>
      <c r="D42" t="s">
        <v>18</v>
      </c>
    </row>
    <row r="44" spans="2:8" x14ac:dyDescent="0.2">
      <c r="B44" t="s">
        <v>19</v>
      </c>
      <c r="C44" s="2">
        <f>C40/(C41*C42)</f>
        <v>2.9900332225913623E-23</v>
      </c>
      <c r="D44" t="s">
        <v>20</v>
      </c>
    </row>
    <row r="45" spans="2:8" x14ac:dyDescent="0.2">
      <c r="C45" s="2">
        <f>C44*0.000001</f>
        <v>2.990033222591362E-29</v>
      </c>
      <c r="D45" t="s">
        <v>21</v>
      </c>
    </row>
    <row r="46" spans="2:8" x14ac:dyDescent="0.2">
      <c r="C46" s="2">
        <f>C45*1E+27</f>
        <v>2.9900332225913619E-2</v>
      </c>
      <c r="D46" t="s">
        <v>80</v>
      </c>
    </row>
    <row r="47" spans="2:8" x14ac:dyDescent="0.2">
      <c r="C47" s="2"/>
    </row>
    <row r="48" spans="2:8" x14ac:dyDescent="0.2">
      <c r="B48" t="s">
        <v>22</v>
      </c>
      <c r="C48" s="2">
        <f>C45^(1/3)</f>
        <v>3.1037876777349694E-10</v>
      </c>
      <c r="D48" t="s">
        <v>8</v>
      </c>
    </row>
    <row r="49" spans="2:5" x14ac:dyDescent="0.2">
      <c r="C49" s="2">
        <f>C48*1000000000</f>
        <v>0.31037876777349693</v>
      </c>
      <c r="D49" t="s">
        <v>2</v>
      </c>
    </row>
    <row r="50" spans="2:5" x14ac:dyDescent="0.2">
      <c r="B50" t="s">
        <v>9</v>
      </c>
    </row>
    <row r="51" spans="2:5" x14ac:dyDescent="0.2">
      <c r="B51" t="s">
        <v>23</v>
      </c>
      <c r="C51" s="2">
        <f>C49/10</f>
        <v>3.1037876777349694E-2</v>
      </c>
      <c r="E51" t="s">
        <v>81</v>
      </c>
    </row>
    <row r="53" spans="2:5" x14ac:dyDescent="0.2">
      <c r="B53" t="s">
        <v>83</v>
      </c>
      <c r="C53" s="2">
        <f>3*C51/(1-C51)^3</f>
        <v>0.10235118070364446</v>
      </c>
    </row>
    <row r="54" spans="2:5" x14ac:dyDescent="0.2">
      <c r="C54" s="2"/>
    </row>
    <row r="56" spans="2:5" x14ac:dyDescent="0.2">
      <c r="B56" t="s">
        <v>82</v>
      </c>
      <c r="C56" s="2">
        <f>3*C51</f>
        <v>9.3113630332049085E-2</v>
      </c>
      <c r="E56" t="s">
        <v>82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64E4B-E49C-CC41-9282-46E5BF50AB6B}">
  <sheetPr>
    <pageSetUpPr fitToPage="1"/>
  </sheetPr>
  <dimension ref="B7:P26"/>
  <sheetViews>
    <sheetView workbookViewId="0">
      <selection activeCell="F15" sqref="F15"/>
    </sheetView>
  </sheetViews>
  <sheetFormatPr baseColWidth="10" defaultRowHeight="15" x14ac:dyDescent="0.2"/>
  <cols>
    <col min="2" max="2" width="8" customWidth="1"/>
    <col min="3" max="3" width="8.85546875" customWidth="1"/>
    <col min="4" max="4" width="7" customWidth="1"/>
    <col min="5" max="5" width="8.85546875" customWidth="1"/>
    <col min="6" max="6" width="7.85546875" customWidth="1"/>
    <col min="7" max="7" width="9.85546875" customWidth="1"/>
    <col min="9" max="9" width="7.42578125" customWidth="1"/>
    <col min="10" max="10" width="7.7109375" customWidth="1"/>
    <col min="11" max="11" width="12" bestFit="1" customWidth="1"/>
    <col min="12" max="12" width="3.5703125" customWidth="1"/>
    <col min="13" max="13" width="5.28515625" customWidth="1"/>
    <col min="14" max="14" width="3.85546875" customWidth="1"/>
  </cols>
  <sheetData>
    <row r="7" spans="2:16" x14ac:dyDescent="0.2">
      <c r="B7" t="s">
        <v>89</v>
      </c>
      <c r="C7">
        <v>7.1999999999999995E-2</v>
      </c>
      <c r="D7" t="s">
        <v>30</v>
      </c>
    </row>
    <row r="8" spans="2:16" x14ac:dyDescent="0.2">
      <c r="O8" t="s">
        <v>99</v>
      </c>
      <c r="P8" t="s">
        <v>100</v>
      </c>
    </row>
    <row r="9" spans="2:16" x14ac:dyDescent="0.2">
      <c r="B9" t="s">
        <v>90</v>
      </c>
      <c r="C9">
        <v>41</v>
      </c>
      <c r="D9" t="s">
        <v>78</v>
      </c>
      <c r="O9">
        <v>0</v>
      </c>
      <c r="P9" t="s">
        <v>101</v>
      </c>
    </row>
    <row r="10" spans="2:16" x14ac:dyDescent="0.2">
      <c r="C10">
        <f>C9*1000</f>
        <v>41000</v>
      </c>
      <c r="D10" t="s">
        <v>43</v>
      </c>
      <c r="O10">
        <f>O9+3</f>
        <v>3</v>
      </c>
      <c r="P10" s="6">
        <v>6.0690731707317065</v>
      </c>
    </row>
    <row r="11" spans="2:16" x14ac:dyDescent="0.2">
      <c r="O11">
        <f t="shared" ref="O11:O14" si="0">O10+3</f>
        <v>6</v>
      </c>
      <c r="P11" s="6">
        <v>3.0345365853658532</v>
      </c>
    </row>
    <row r="12" spans="2:16" x14ac:dyDescent="0.2">
      <c r="B12" t="s">
        <v>37</v>
      </c>
      <c r="C12">
        <v>288</v>
      </c>
      <c r="D12" t="s">
        <v>38</v>
      </c>
      <c r="O12">
        <f t="shared" si="0"/>
        <v>9</v>
      </c>
      <c r="P12" s="6">
        <v>2.0230243902439025</v>
      </c>
    </row>
    <row r="13" spans="2:16" x14ac:dyDescent="0.2">
      <c r="O13">
        <f t="shared" si="0"/>
        <v>12</v>
      </c>
      <c r="P13" s="6">
        <v>1.5172682926829266</v>
      </c>
    </row>
    <row r="14" spans="2:16" x14ac:dyDescent="0.2">
      <c r="B14" t="s">
        <v>91</v>
      </c>
      <c r="C14">
        <v>0</v>
      </c>
      <c r="D14" t="s">
        <v>38</v>
      </c>
      <c r="E14" t="s">
        <v>92</v>
      </c>
      <c r="F14" s="1">
        <f t="shared" ref="F14:F19" si="1">$C$10*C14/$C$12</f>
        <v>0</v>
      </c>
      <c r="G14" t="s">
        <v>43</v>
      </c>
      <c r="H14" s="2">
        <f t="shared" ref="H14:H19" si="2">F14/$G$26</f>
        <v>0</v>
      </c>
      <c r="I14" t="s">
        <v>41</v>
      </c>
      <c r="J14" s="5" t="s">
        <v>97</v>
      </c>
      <c r="K14" s="5" t="e">
        <f t="shared" ref="K14:K19" si="3">2*$C$7/H14</f>
        <v>#DIV/0!</v>
      </c>
      <c r="L14" s="5"/>
      <c r="M14" s="5"/>
      <c r="O14">
        <f t="shared" si="0"/>
        <v>15</v>
      </c>
      <c r="P14" s="6">
        <v>1.2138146341463414</v>
      </c>
    </row>
    <row r="15" spans="2:16" x14ac:dyDescent="0.2">
      <c r="C15">
        <f>C14+3</f>
        <v>3</v>
      </c>
      <c r="D15" t="s">
        <v>38</v>
      </c>
      <c r="F15" s="1">
        <f t="shared" si="1"/>
        <v>427.08333333333331</v>
      </c>
      <c r="G15" t="s">
        <v>43</v>
      </c>
      <c r="H15" s="2">
        <f t="shared" si="2"/>
        <v>23726851.851851851</v>
      </c>
      <c r="J15" s="5"/>
      <c r="K15" s="5">
        <f t="shared" si="3"/>
        <v>6.0690731707317069E-9</v>
      </c>
      <c r="L15" s="5" t="s">
        <v>8</v>
      </c>
      <c r="M15" s="7">
        <f>K15*1000000000</f>
        <v>6.0690731707317065</v>
      </c>
      <c r="N15" t="s">
        <v>2</v>
      </c>
    </row>
    <row r="16" spans="2:16" x14ac:dyDescent="0.2">
      <c r="C16">
        <f t="shared" ref="C16:C19" si="4">C15+3</f>
        <v>6</v>
      </c>
      <c r="D16" t="s">
        <v>38</v>
      </c>
      <c r="F16" s="1">
        <f t="shared" si="1"/>
        <v>854.16666666666663</v>
      </c>
      <c r="H16" s="2">
        <f t="shared" si="2"/>
        <v>47453703.703703701</v>
      </c>
      <c r="J16" s="5"/>
      <c r="K16" s="5">
        <f t="shared" si="3"/>
        <v>3.0345365853658534E-9</v>
      </c>
      <c r="L16" s="5"/>
      <c r="M16" s="7">
        <f t="shared" ref="M16:M19" si="5">K16*1000000000</f>
        <v>3.0345365853658532</v>
      </c>
    </row>
    <row r="17" spans="3:13" x14ac:dyDescent="0.2">
      <c r="C17">
        <f t="shared" si="4"/>
        <v>9</v>
      </c>
      <c r="D17" t="s">
        <v>38</v>
      </c>
      <c r="F17" s="1">
        <f t="shared" si="1"/>
        <v>1281.25</v>
      </c>
      <c r="H17" s="2">
        <f t="shared" si="2"/>
        <v>71180555.555555552</v>
      </c>
      <c r="J17" s="5"/>
      <c r="K17" s="5">
        <f t="shared" si="3"/>
        <v>2.0230243902439023E-9</v>
      </c>
      <c r="L17" s="5"/>
      <c r="M17" s="7">
        <f t="shared" si="5"/>
        <v>2.0230243902439025</v>
      </c>
    </row>
    <row r="18" spans="3:13" x14ac:dyDescent="0.2">
      <c r="C18">
        <f t="shared" si="4"/>
        <v>12</v>
      </c>
      <c r="D18" t="s">
        <v>38</v>
      </c>
      <c r="F18" s="1">
        <f t="shared" si="1"/>
        <v>1708.3333333333333</v>
      </c>
      <c r="H18" s="2">
        <f t="shared" si="2"/>
        <v>94907407.407407403</v>
      </c>
      <c r="J18" s="5"/>
      <c r="K18" s="5">
        <f t="shared" si="3"/>
        <v>1.5172682926829267E-9</v>
      </c>
      <c r="L18" s="5"/>
      <c r="M18" s="7">
        <f t="shared" si="5"/>
        <v>1.5172682926829266</v>
      </c>
    </row>
    <row r="19" spans="3:13" x14ac:dyDescent="0.2">
      <c r="C19">
        <f t="shared" si="4"/>
        <v>15</v>
      </c>
      <c r="D19" t="s">
        <v>38</v>
      </c>
      <c r="F19" s="1">
        <f t="shared" si="1"/>
        <v>2135.4166666666665</v>
      </c>
      <c r="H19" s="2">
        <f t="shared" si="2"/>
        <v>118634259.25925925</v>
      </c>
      <c r="J19" s="5"/>
      <c r="K19" s="5">
        <f t="shared" si="3"/>
        <v>1.2138146341463414E-9</v>
      </c>
      <c r="L19" s="5"/>
      <c r="M19" s="7">
        <f t="shared" si="5"/>
        <v>1.2138146341463414</v>
      </c>
    </row>
    <row r="20" spans="3:13" x14ac:dyDescent="0.2">
      <c r="G20" t="s">
        <v>93</v>
      </c>
    </row>
    <row r="22" spans="3:13" x14ac:dyDescent="0.2">
      <c r="F22" s="8" t="s">
        <v>98</v>
      </c>
      <c r="G22" s="8"/>
      <c r="H22" s="8"/>
    </row>
    <row r="23" spans="3:13" x14ac:dyDescent="0.2">
      <c r="F23" s="8" t="s">
        <v>13</v>
      </c>
      <c r="G23" s="8">
        <v>18</v>
      </c>
      <c r="H23" s="8" t="s">
        <v>70</v>
      </c>
    </row>
    <row r="24" spans="3:13" x14ac:dyDescent="0.2">
      <c r="F24" s="8" t="s">
        <v>15</v>
      </c>
      <c r="G24" s="8">
        <v>1</v>
      </c>
      <c r="H24" s="8" t="s">
        <v>16</v>
      </c>
    </row>
    <row r="25" spans="3:13" x14ac:dyDescent="0.2">
      <c r="F25" s="8" t="s">
        <v>94</v>
      </c>
      <c r="G25" s="9">
        <v>18</v>
      </c>
      <c r="H25" s="8" t="s">
        <v>95</v>
      </c>
    </row>
    <row r="26" spans="3:13" x14ac:dyDescent="0.2">
      <c r="F26" s="8"/>
      <c r="G26" s="9">
        <f>G25/1000000</f>
        <v>1.8E-5</v>
      </c>
      <c r="H26" s="8" t="s">
        <v>96</v>
      </c>
    </row>
  </sheetData>
  <pageMargins left="0.7" right="0.7" top="0.75" bottom="0.75" header="0.3" footer="0.3"/>
  <pageSetup scale="72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D84C8-F03D-E640-97B8-08A8B1BB0483}">
  <dimension ref="C3:D6"/>
  <sheetViews>
    <sheetView workbookViewId="0">
      <selection activeCell="B15" sqref="B15"/>
    </sheetView>
  </sheetViews>
  <sheetFormatPr baseColWidth="10" defaultRowHeight="15" x14ac:dyDescent="0.2"/>
  <sheetData>
    <row r="3" spans="3:4" x14ac:dyDescent="0.2">
      <c r="C3" t="s">
        <v>84</v>
      </c>
      <c r="D3" t="s">
        <v>85</v>
      </c>
    </row>
    <row r="5" spans="3:4" x14ac:dyDescent="0.2">
      <c r="C5">
        <v>1000</v>
      </c>
      <c r="D5">
        <f>C5^(1/3)</f>
        <v>9.9999999999999982</v>
      </c>
    </row>
    <row r="6" spans="3:4" x14ac:dyDescent="0.2">
      <c r="C6">
        <v>10000</v>
      </c>
      <c r="D6">
        <f>C6^(1/3)</f>
        <v>21.544346900318843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D1EEA-CBC9-D14F-B6BF-63C4BC8C33EB}">
  <dimension ref="D4:I65"/>
  <sheetViews>
    <sheetView tabSelected="1" topLeftCell="C7" zoomScale="139" zoomScaleNormal="139" workbookViewId="0">
      <selection activeCell="J17" sqref="J17"/>
    </sheetView>
  </sheetViews>
  <sheetFormatPr baseColWidth="10" defaultRowHeight="15" x14ac:dyDescent="0.2"/>
  <sheetData>
    <row r="4" spans="4:9" x14ac:dyDescent="0.2">
      <c r="D4" t="s">
        <v>102</v>
      </c>
    </row>
    <row r="7" spans="4:9" ht="18" x14ac:dyDescent="0.25">
      <c r="D7" t="s">
        <v>103</v>
      </c>
      <c r="E7">
        <v>1</v>
      </c>
      <c r="F7" t="s">
        <v>104</v>
      </c>
      <c r="G7" s="12" t="s">
        <v>72</v>
      </c>
      <c r="H7">
        <v>80</v>
      </c>
      <c r="I7" t="s">
        <v>73</v>
      </c>
    </row>
    <row r="8" spans="4:9" x14ac:dyDescent="0.2">
      <c r="H8">
        <f>80*1000</f>
        <v>80000</v>
      </c>
      <c r="I8" t="s">
        <v>106</v>
      </c>
    </row>
    <row r="9" spans="4:9" x14ac:dyDescent="0.2">
      <c r="D9" t="s">
        <v>105</v>
      </c>
      <c r="E9">
        <v>250</v>
      </c>
      <c r="F9" t="s">
        <v>106</v>
      </c>
    </row>
    <row r="11" spans="4:9" ht="17" x14ac:dyDescent="0.2">
      <c r="D11" t="s">
        <v>108</v>
      </c>
      <c r="E11">
        <f>E7/E9</f>
        <v>4.0000000000000001E-3</v>
      </c>
    </row>
    <row r="12" spans="4:9" x14ac:dyDescent="0.2">
      <c r="D12" t="s">
        <v>107</v>
      </c>
      <c r="E12">
        <f>E11^2</f>
        <v>1.5999999999999999E-5</v>
      </c>
      <c r="F12" t="s">
        <v>8</v>
      </c>
    </row>
    <row r="13" spans="4:9" x14ac:dyDescent="0.2">
      <c r="E13">
        <f>E12*1000000</f>
        <v>16</v>
      </c>
      <c r="F13" t="s">
        <v>109</v>
      </c>
    </row>
    <row r="15" spans="4:9" x14ac:dyDescent="0.2">
      <c r="D15" t="s">
        <v>110</v>
      </c>
      <c r="E15" t="s">
        <v>111</v>
      </c>
      <c r="F15" t="s">
        <v>110</v>
      </c>
      <c r="G15" t="s">
        <v>112</v>
      </c>
      <c r="H15" t="s">
        <v>128</v>
      </c>
      <c r="I15" t="s">
        <v>129</v>
      </c>
    </row>
    <row r="16" spans="4:9" x14ac:dyDescent="0.2">
      <c r="D16">
        <v>50</v>
      </c>
      <c r="E16">
        <f>D16*0.000001</f>
        <v>4.9999999999999996E-5</v>
      </c>
      <c r="F16">
        <f>E16*1000000</f>
        <v>49.999999999999993</v>
      </c>
      <c r="G16">
        <f>$E$7/SQRT(E16)</f>
        <v>141.42135623730951</v>
      </c>
      <c r="H16">
        <f>G16*100/$H$8</f>
        <v>0.17677669529663689</v>
      </c>
      <c r="I16">
        <f>H16*SQRT(10)</f>
        <v>0.55901699437494745</v>
      </c>
    </row>
    <row r="17" spans="4:9" x14ac:dyDescent="0.2">
      <c r="D17">
        <f>D16-1</f>
        <v>49</v>
      </c>
      <c r="E17">
        <f t="shared" ref="E17:E65" si="0">D17*0.000001</f>
        <v>4.8999999999999998E-5</v>
      </c>
      <c r="F17">
        <f t="shared" ref="F17:F65" si="1">E17*1000000</f>
        <v>49</v>
      </c>
      <c r="G17">
        <f>$E$7/SQRT(E17)</f>
        <v>142.85714285714286</v>
      </c>
      <c r="H17">
        <f t="shared" ref="H17:H65" si="2">G17*100/$H$8</f>
        <v>0.17857142857142858</v>
      </c>
      <c r="I17">
        <f t="shared" ref="I17:I65" si="3">H17*SQRT(10)</f>
        <v>0.56469243931578206</v>
      </c>
    </row>
    <row r="18" spans="4:9" x14ac:dyDescent="0.2">
      <c r="D18">
        <f t="shared" ref="D18:D65" si="4">D17-1</f>
        <v>48</v>
      </c>
      <c r="E18">
        <f t="shared" si="0"/>
        <v>4.8000000000000001E-5</v>
      </c>
      <c r="F18">
        <f t="shared" si="1"/>
        <v>48</v>
      </c>
      <c r="G18">
        <f>$E$7/SQRT(E18)</f>
        <v>144.33756729740642</v>
      </c>
      <c r="H18">
        <f t="shared" si="2"/>
        <v>0.18042195912175804</v>
      </c>
      <c r="I18">
        <f t="shared" si="3"/>
        <v>0.57054433073454802</v>
      </c>
    </row>
    <row r="19" spans="4:9" x14ac:dyDescent="0.2">
      <c r="D19">
        <f t="shared" si="4"/>
        <v>47</v>
      </c>
      <c r="E19">
        <f t="shared" si="0"/>
        <v>4.6999999999999997E-5</v>
      </c>
      <c r="F19">
        <f t="shared" si="1"/>
        <v>47</v>
      </c>
      <c r="G19">
        <f>$E$7/SQRT(E19)</f>
        <v>145.86499149789455</v>
      </c>
      <c r="H19">
        <f t="shared" si="2"/>
        <v>0.1823312393723682</v>
      </c>
      <c r="I19">
        <f t="shared" si="3"/>
        <v>0.57658200501805323</v>
      </c>
    </row>
    <row r="20" spans="4:9" x14ac:dyDescent="0.2">
      <c r="D20">
        <f t="shared" si="4"/>
        <v>46</v>
      </c>
      <c r="E20">
        <f t="shared" si="0"/>
        <v>4.6E-5</v>
      </c>
      <c r="F20">
        <f t="shared" si="1"/>
        <v>46</v>
      </c>
      <c r="G20">
        <f>$E$7/SQRT(E20)</f>
        <v>147.44195615489713</v>
      </c>
      <c r="H20">
        <f t="shared" si="2"/>
        <v>0.18430244519362141</v>
      </c>
      <c r="I20">
        <f t="shared" si="3"/>
        <v>0.58281550515019609</v>
      </c>
    </row>
    <row r="21" spans="4:9" x14ac:dyDescent="0.2">
      <c r="D21">
        <f t="shared" si="4"/>
        <v>45</v>
      </c>
      <c r="E21">
        <f t="shared" si="0"/>
        <v>4.4999999999999996E-5</v>
      </c>
      <c r="F21">
        <f t="shared" si="1"/>
        <v>44.999999999999993</v>
      </c>
      <c r="G21">
        <f>$E$7/SQRT(E21)</f>
        <v>149.071198499986</v>
      </c>
      <c r="H21">
        <f t="shared" si="2"/>
        <v>0.1863389981249825</v>
      </c>
      <c r="I21">
        <f t="shared" si="3"/>
        <v>0.58925565098878974</v>
      </c>
    </row>
    <row r="22" spans="4:9" x14ac:dyDescent="0.2">
      <c r="D22">
        <f t="shared" si="4"/>
        <v>44</v>
      </c>
      <c r="E22">
        <f t="shared" si="0"/>
        <v>4.3999999999999999E-5</v>
      </c>
      <c r="F22">
        <f t="shared" si="1"/>
        <v>44</v>
      </c>
      <c r="G22">
        <f>$E$7/SQRT(E22)</f>
        <v>150.75567228888181</v>
      </c>
      <c r="H22">
        <f t="shared" si="2"/>
        <v>0.18844459036110228</v>
      </c>
      <c r="I22">
        <f t="shared" si="3"/>
        <v>0.59591411827849528</v>
      </c>
    </row>
    <row r="23" spans="4:9" x14ac:dyDescent="0.2">
      <c r="D23">
        <f t="shared" si="4"/>
        <v>43</v>
      </c>
      <c r="E23">
        <f t="shared" si="0"/>
        <v>4.2999999999999995E-5</v>
      </c>
      <c r="F23">
        <f t="shared" si="1"/>
        <v>42.999999999999993</v>
      </c>
      <c r="G23">
        <f>$E$7/SQRT(E23)</f>
        <v>152.49857033260469</v>
      </c>
      <c r="H23">
        <f t="shared" si="2"/>
        <v>0.19062321291575585</v>
      </c>
      <c r="I23">
        <f t="shared" si="3"/>
        <v>0.60280352771301526</v>
      </c>
    </row>
    <row r="24" spans="4:9" x14ac:dyDescent="0.2">
      <c r="D24">
        <f t="shared" si="4"/>
        <v>42</v>
      </c>
      <c r="E24">
        <f t="shared" si="0"/>
        <v>4.1999999999999998E-5</v>
      </c>
      <c r="F24">
        <f t="shared" si="1"/>
        <v>42</v>
      </c>
      <c r="G24">
        <f>$E$7/SQRT(E24)</f>
        <v>154.30334996209191</v>
      </c>
      <c r="H24">
        <f t="shared" si="2"/>
        <v>0.19287918745261487</v>
      </c>
      <c r="I24">
        <f t="shared" si="3"/>
        <v>0.6099375455928332</v>
      </c>
    </row>
    <row r="25" spans="4:9" x14ac:dyDescent="0.2">
      <c r="D25">
        <f t="shared" si="4"/>
        <v>41</v>
      </c>
      <c r="E25">
        <f t="shared" si="0"/>
        <v>4.1E-5</v>
      </c>
      <c r="F25">
        <f t="shared" si="1"/>
        <v>41</v>
      </c>
      <c r="G25">
        <f>$E$7/SQRT(E25)</f>
        <v>156.17376188860607</v>
      </c>
      <c r="H25">
        <f t="shared" si="2"/>
        <v>0.19521720236075757</v>
      </c>
      <c r="I25">
        <f t="shared" si="3"/>
        <v>0.61733099790599355</v>
      </c>
    </row>
    <row r="26" spans="4:9" x14ac:dyDescent="0.2">
      <c r="D26">
        <f t="shared" si="4"/>
        <v>40</v>
      </c>
      <c r="E26">
        <f t="shared" si="0"/>
        <v>3.9999999999999996E-5</v>
      </c>
      <c r="F26">
        <f t="shared" si="1"/>
        <v>40</v>
      </c>
      <c r="G26">
        <f>$E$7/SQRT(E26)</f>
        <v>158.11388300841895</v>
      </c>
      <c r="H26">
        <f t="shared" si="2"/>
        <v>0.19764235376052369</v>
      </c>
      <c r="I26">
        <f t="shared" si="3"/>
        <v>0.625</v>
      </c>
    </row>
    <row r="27" spans="4:9" x14ac:dyDescent="0.2">
      <c r="D27">
        <f t="shared" si="4"/>
        <v>39</v>
      </c>
      <c r="E27">
        <f t="shared" si="0"/>
        <v>3.8999999999999999E-5</v>
      </c>
      <c r="F27">
        <f t="shared" si="1"/>
        <v>39</v>
      </c>
      <c r="G27">
        <f>$E$7/SQRT(E27)</f>
        <v>160.12815380508712</v>
      </c>
      <c r="H27">
        <f t="shared" si="2"/>
        <v>0.20016019225635892</v>
      </c>
      <c r="I27">
        <f t="shared" si="3"/>
        <v>0.63296210442729173</v>
      </c>
    </row>
    <row r="28" spans="4:9" x14ac:dyDescent="0.2">
      <c r="D28">
        <f t="shared" si="4"/>
        <v>38</v>
      </c>
      <c r="E28">
        <f t="shared" si="0"/>
        <v>3.7999999999999995E-5</v>
      </c>
      <c r="F28">
        <f t="shared" si="1"/>
        <v>37.999999999999993</v>
      </c>
      <c r="G28">
        <f>$E$7/SQRT(E28)</f>
        <v>162.22142113076256</v>
      </c>
      <c r="H28">
        <f t="shared" si="2"/>
        <v>0.20277677641345321</v>
      </c>
      <c r="I28">
        <f t="shared" si="3"/>
        <v>0.64123647005322149</v>
      </c>
    </row>
    <row r="29" spans="4:9" x14ac:dyDescent="0.2">
      <c r="D29">
        <f t="shared" si="4"/>
        <v>37</v>
      </c>
      <c r="E29">
        <f t="shared" si="0"/>
        <v>3.6999999999999998E-5</v>
      </c>
      <c r="F29">
        <f t="shared" si="1"/>
        <v>37</v>
      </c>
      <c r="G29">
        <f>$E$7/SQRT(E29)</f>
        <v>164.39898730535728</v>
      </c>
      <c r="H29">
        <f t="shared" si="2"/>
        <v>0.20549873413169661</v>
      </c>
      <c r="I29">
        <f t="shared" si="3"/>
        <v>0.64984405613754548</v>
      </c>
    </row>
    <row r="30" spans="4:9" x14ac:dyDescent="0.2">
      <c r="D30">
        <f t="shared" si="4"/>
        <v>36</v>
      </c>
      <c r="E30">
        <f t="shared" si="0"/>
        <v>3.6000000000000001E-5</v>
      </c>
      <c r="F30">
        <f t="shared" si="1"/>
        <v>36</v>
      </c>
      <c r="G30">
        <f>$E$7/SQRT(E30)</f>
        <v>166.66666666666666</v>
      </c>
      <c r="H30">
        <f t="shared" si="2"/>
        <v>0.20833333333333331</v>
      </c>
      <c r="I30">
        <f t="shared" si="3"/>
        <v>0.65880784586841235</v>
      </c>
    </row>
    <row r="31" spans="4:9" x14ac:dyDescent="0.2">
      <c r="D31">
        <f t="shared" si="4"/>
        <v>35</v>
      </c>
      <c r="E31">
        <f t="shared" si="0"/>
        <v>3.4999999999999997E-5</v>
      </c>
      <c r="F31">
        <f t="shared" si="1"/>
        <v>35</v>
      </c>
      <c r="G31">
        <f>$E$7/SQRT(E31)</f>
        <v>169.03085094570332</v>
      </c>
      <c r="H31">
        <f t="shared" si="2"/>
        <v>0.21128856368212914</v>
      </c>
      <c r="I31">
        <f t="shared" si="3"/>
        <v>0.66815310478106105</v>
      </c>
    </row>
    <row r="32" spans="4:9" x14ac:dyDescent="0.2">
      <c r="D32">
        <f t="shared" si="4"/>
        <v>34</v>
      </c>
      <c r="E32">
        <f t="shared" si="0"/>
        <v>3.4E-5</v>
      </c>
      <c r="F32">
        <f t="shared" si="1"/>
        <v>34</v>
      </c>
      <c r="G32">
        <f>$E$7/SQRT(E32)</f>
        <v>171.49858514250883</v>
      </c>
      <c r="H32">
        <f t="shared" si="2"/>
        <v>0.21437323142813602</v>
      </c>
      <c r="I32">
        <f t="shared" si="3"/>
        <v>0.67790768068330054</v>
      </c>
    </row>
    <row r="33" spans="4:9" x14ac:dyDescent="0.2">
      <c r="D33">
        <f t="shared" si="4"/>
        <v>33</v>
      </c>
      <c r="E33">
        <f t="shared" si="0"/>
        <v>3.2999999999999996E-5</v>
      </c>
      <c r="F33">
        <f t="shared" si="1"/>
        <v>32.999999999999993</v>
      </c>
      <c r="G33">
        <f>$E$7/SQRT(E33)</f>
        <v>174.07765595569785</v>
      </c>
      <c r="H33">
        <f t="shared" si="2"/>
        <v>0.2175970699446223</v>
      </c>
      <c r="I33">
        <f t="shared" si="3"/>
        <v>0.68810235320397539</v>
      </c>
    </row>
    <row r="34" spans="4:9" x14ac:dyDescent="0.2">
      <c r="D34">
        <f t="shared" si="4"/>
        <v>32</v>
      </c>
      <c r="E34">
        <f t="shared" si="0"/>
        <v>3.1999999999999999E-5</v>
      </c>
      <c r="F34">
        <f t="shared" si="1"/>
        <v>32</v>
      </c>
      <c r="G34">
        <f>$E$7/SQRT(E34)</f>
        <v>176.77669529663689</v>
      </c>
      <c r="H34">
        <f t="shared" si="2"/>
        <v>0.22097086912079614</v>
      </c>
      <c r="I34">
        <f t="shared" si="3"/>
        <v>0.69877124296868443</v>
      </c>
    </row>
    <row r="35" spans="4:9" x14ac:dyDescent="0.2">
      <c r="D35">
        <f t="shared" si="4"/>
        <v>31</v>
      </c>
      <c r="E35">
        <f t="shared" si="0"/>
        <v>3.1000000000000001E-5</v>
      </c>
      <c r="F35">
        <f t="shared" si="1"/>
        <v>31</v>
      </c>
      <c r="G35">
        <f>$E$7/SQRT(E35)</f>
        <v>179.60530202677489</v>
      </c>
      <c r="H35">
        <f t="shared" si="2"/>
        <v>0.22450662753346859</v>
      </c>
      <c r="I35">
        <f t="shared" si="3"/>
        <v>0.70995229280883099</v>
      </c>
    </row>
    <row r="36" spans="4:9" x14ac:dyDescent="0.2">
      <c r="D36">
        <f t="shared" si="4"/>
        <v>30</v>
      </c>
      <c r="E36">
        <f t="shared" si="0"/>
        <v>2.9999999999999997E-5</v>
      </c>
      <c r="F36">
        <f t="shared" si="1"/>
        <v>29.999999999999996</v>
      </c>
      <c r="G36">
        <f>$E$7/SQRT(E36)</f>
        <v>182.57418583505537</v>
      </c>
      <c r="H36">
        <f t="shared" si="2"/>
        <v>0.2282177322938192</v>
      </c>
      <c r="I36">
        <f t="shared" si="3"/>
        <v>0.72168783648703216</v>
      </c>
    </row>
    <row r="37" spans="4:9" x14ac:dyDescent="0.2">
      <c r="D37">
        <f t="shared" si="4"/>
        <v>29</v>
      </c>
      <c r="E37">
        <f t="shared" si="0"/>
        <v>2.9E-5</v>
      </c>
      <c r="F37">
        <f t="shared" si="1"/>
        <v>29</v>
      </c>
      <c r="G37">
        <f>$E$7/SQRT(E37)</f>
        <v>185.69533817705187</v>
      </c>
      <c r="H37">
        <f t="shared" si="2"/>
        <v>0.23211917272131483</v>
      </c>
      <c r="I37">
        <f t="shared" si="3"/>
        <v>0.73402527439337939</v>
      </c>
    </row>
    <row r="38" spans="4:9" x14ac:dyDescent="0.2">
      <c r="D38">
        <f t="shared" si="4"/>
        <v>28</v>
      </c>
      <c r="E38">
        <f t="shared" si="0"/>
        <v>2.8E-5</v>
      </c>
      <c r="F38">
        <f t="shared" si="1"/>
        <v>28</v>
      </c>
      <c r="G38">
        <f>$E$7/SQRT(E38)</f>
        <v>188.98223650461361</v>
      </c>
      <c r="H38">
        <f t="shared" si="2"/>
        <v>0.23622779563076701</v>
      </c>
      <c r="I38">
        <f t="shared" si="3"/>
        <v>0.74701788083399601</v>
      </c>
    </row>
    <row r="39" spans="4:9" x14ac:dyDescent="0.2">
      <c r="D39">
        <f t="shared" si="4"/>
        <v>27</v>
      </c>
      <c r="E39">
        <f t="shared" si="0"/>
        <v>2.6999999999999999E-5</v>
      </c>
      <c r="F39">
        <f t="shared" si="1"/>
        <v>27</v>
      </c>
      <c r="G39">
        <f>$E$7/SQRT(E39)</f>
        <v>192.45008972987526</v>
      </c>
      <c r="H39">
        <f t="shared" si="2"/>
        <v>0.24056261216234406</v>
      </c>
      <c r="I39">
        <f t="shared" si="3"/>
        <v>0.7607257743127307</v>
      </c>
    </row>
    <row r="40" spans="4:9" x14ac:dyDescent="0.2">
      <c r="D40">
        <f t="shared" si="4"/>
        <v>26</v>
      </c>
      <c r="E40">
        <f t="shared" si="0"/>
        <v>2.5999999999999998E-5</v>
      </c>
      <c r="F40">
        <f t="shared" si="1"/>
        <v>26</v>
      </c>
      <c r="G40">
        <f>$E$7/SQRT(E40)</f>
        <v>196.11613513818403</v>
      </c>
      <c r="H40">
        <f t="shared" si="2"/>
        <v>0.24514516892273006</v>
      </c>
      <c r="I40">
        <f t="shared" si="3"/>
        <v>0.775217091182553</v>
      </c>
    </row>
    <row r="41" spans="4:9" x14ac:dyDescent="0.2">
      <c r="D41">
        <f t="shared" si="4"/>
        <v>25</v>
      </c>
      <c r="E41">
        <f t="shared" si="0"/>
        <v>2.4999999999999998E-5</v>
      </c>
      <c r="F41">
        <f t="shared" si="1"/>
        <v>24.999999999999996</v>
      </c>
      <c r="G41">
        <f>$E$7/SQRT(E41)</f>
        <v>200</v>
      </c>
      <c r="H41">
        <f t="shared" si="2"/>
        <v>0.25</v>
      </c>
      <c r="I41">
        <f t="shared" si="3"/>
        <v>0.79056941504209488</v>
      </c>
    </row>
    <row r="42" spans="4:9" x14ac:dyDescent="0.2">
      <c r="D42">
        <f t="shared" si="4"/>
        <v>24</v>
      </c>
      <c r="E42">
        <f t="shared" si="0"/>
        <v>2.4000000000000001E-5</v>
      </c>
      <c r="F42">
        <f t="shared" si="1"/>
        <v>24</v>
      </c>
      <c r="G42">
        <f>$E$7/SQRT(E42)</f>
        <v>204.12414523193149</v>
      </c>
      <c r="H42">
        <f t="shared" si="2"/>
        <v>0.2551551815399144</v>
      </c>
      <c r="I42">
        <f t="shared" si="3"/>
        <v>0.80687153045987858</v>
      </c>
    </row>
    <row r="43" spans="4:9" x14ac:dyDescent="0.2">
      <c r="D43">
        <f t="shared" si="4"/>
        <v>23</v>
      </c>
      <c r="E43">
        <f t="shared" si="0"/>
        <v>2.3E-5</v>
      </c>
      <c r="F43">
        <f t="shared" si="1"/>
        <v>23</v>
      </c>
      <c r="G43">
        <f>$E$7/SQRT(E43)</f>
        <v>208.51441405707473</v>
      </c>
      <c r="H43">
        <f t="shared" si="2"/>
        <v>0.26064301757134339</v>
      </c>
      <c r="I43">
        <f t="shared" si="3"/>
        <v>0.82422559174473364</v>
      </c>
    </row>
    <row r="44" spans="4:9" x14ac:dyDescent="0.2">
      <c r="D44">
        <f t="shared" si="4"/>
        <v>22</v>
      </c>
      <c r="E44">
        <f t="shared" si="0"/>
        <v>2.1999999999999999E-5</v>
      </c>
      <c r="F44">
        <f t="shared" si="1"/>
        <v>22</v>
      </c>
      <c r="G44">
        <f>$E$7/SQRT(E44)</f>
        <v>213.20071635561044</v>
      </c>
      <c r="H44">
        <f t="shared" si="2"/>
        <v>0.26650089544451305</v>
      </c>
      <c r="I44">
        <f t="shared" si="3"/>
        <v>0.84274982807905274</v>
      </c>
    </row>
    <row r="45" spans="4:9" x14ac:dyDescent="0.2">
      <c r="D45">
        <f t="shared" si="4"/>
        <v>21</v>
      </c>
      <c r="E45">
        <f t="shared" si="0"/>
        <v>2.0999999999999999E-5</v>
      </c>
      <c r="F45">
        <f t="shared" si="1"/>
        <v>21</v>
      </c>
      <c r="G45">
        <f>$E$7/SQRT(E45)</f>
        <v>218.2178902359924</v>
      </c>
      <c r="H45">
        <f t="shared" si="2"/>
        <v>0.27277236279499045</v>
      </c>
      <c r="I45">
        <f t="shared" si="3"/>
        <v>0.86258194917794273</v>
      </c>
    </row>
    <row r="46" spans="4:9" x14ac:dyDescent="0.2">
      <c r="D46">
        <f t="shared" si="4"/>
        <v>20</v>
      </c>
      <c r="E46">
        <f t="shared" si="0"/>
        <v>1.9999999999999998E-5</v>
      </c>
      <c r="F46">
        <f t="shared" si="1"/>
        <v>20</v>
      </c>
      <c r="G46">
        <f>$E$7/SQRT(E46)</f>
        <v>223.60679774997899</v>
      </c>
      <c r="H46">
        <f t="shared" si="2"/>
        <v>0.27950849718747373</v>
      </c>
      <c r="I46">
        <f t="shared" si="3"/>
        <v>0.88388347648318455</v>
      </c>
    </row>
    <row r="47" spans="4:9" x14ac:dyDescent="0.2">
      <c r="D47">
        <f t="shared" si="4"/>
        <v>19</v>
      </c>
      <c r="E47">
        <f t="shared" si="0"/>
        <v>1.8999999999999998E-5</v>
      </c>
      <c r="F47">
        <f t="shared" si="1"/>
        <v>18.999999999999996</v>
      </c>
      <c r="G47">
        <f>$E$7/SQRT(E47)</f>
        <v>229.41573387056178</v>
      </c>
      <c r="H47">
        <f t="shared" si="2"/>
        <v>0.28676966733820225</v>
      </c>
      <c r="I47">
        <f t="shared" si="3"/>
        <v>0.90684531263751478</v>
      </c>
    </row>
    <row r="48" spans="4:9" x14ac:dyDescent="0.2">
      <c r="D48">
        <f t="shared" si="4"/>
        <v>18</v>
      </c>
      <c r="E48">
        <f t="shared" si="0"/>
        <v>1.8E-5</v>
      </c>
      <c r="F48">
        <f t="shared" si="1"/>
        <v>18</v>
      </c>
      <c r="G48">
        <f>$E$7/SQRT(E48)</f>
        <v>235.70226039551585</v>
      </c>
      <c r="H48">
        <f t="shared" si="2"/>
        <v>0.29462782549439481</v>
      </c>
      <c r="I48">
        <f t="shared" si="3"/>
        <v>0.93169499062491246</v>
      </c>
    </row>
    <row r="49" spans="4:9" x14ac:dyDescent="0.2">
      <c r="D49">
        <f t="shared" si="4"/>
        <v>17</v>
      </c>
      <c r="E49">
        <f t="shared" si="0"/>
        <v>1.7E-5</v>
      </c>
      <c r="F49">
        <f t="shared" si="1"/>
        <v>17</v>
      </c>
      <c r="G49">
        <f>$E$7/SQRT(E49)</f>
        <v>242.53562503633299</v>
      </c>
      <c r="H49">
        <f t="shared" si="2"/>
        <v>0.30316953129541624</v>
      </c>
      <c r="I49">
        <f t="shared" si="3"/>
        <v>0.95870623605921312</v>
      </c>
    </row>
    <row r="50" spans="4:9" x14ac:dyDescent="0.2">
      <c r="D50">
        <f t="shared" si="4"/>
        <v>16</v>
      </c>
      <c r="E50">
        <f t="shared" si="0"/>
        <v>1.5999999999999999E-5</v>
      </c>
      <c r="F50">
        <f t="shared" si="1"/>
        <v>16</v>
      </c>
      <c r="G50">
        <f>$E$7/SQRT(E50)</f>
        <v>250</v>
      </c>
      <c r="H50">
        <f t="shared" si="2"/>
        <v>0.3125</v>
      </c>
      <c r="I50">
        <f t="shared" si="3"/>
        <v>0.98821176880261863</v>
      </c>
    </row>
    <row r="51" spans="4:9" x14ac:dyDescent="0.2">
      <c r="D51">
        <f t="shared" si="4"/>
        <v>15</v>
      </c>
      <c r="E51">
        <f t="shared" si="0"/>
        <v>1.4999999999999999E-5</v>
      </c>
      <c r="F51">
        <f t="shared" si="1"/>
        <v>14.999999999999998</v>
      </c>
      <c r="G51">
        <f>$E$7/SQRT(E51)</f>
        <v>258.1988897471611</v>
      </c>
      <c r="H51">
        <f t="shared" si="2"/>
        <v>0.3227486121839514</v>
      </c>
      <c r="I51">
        <f t="shared" si="3"/>
        <v>1.0206207261596576</v>
      </c>
    </row>
    <row r="52" spans="4:9" x14ac:dyDescent="0.2">
      <c r="D52">
        <f t="shared" si="4"/>
        <v>14</v>
      </c>
      <c r="E52">
        <f t="shared" si="0"/>
        <v>1.4E-5</v>
      </c>
      <c r="F52">
        <f t="shared" si="1"/>
        <v>14</v>
      </c>
      <c r="G52">
        <f>$E$7/SQRT(E52)</f>
        <v>267.2612419124244</v>
      </c>
      <c r="H52">
        <f t="shared" si="2"/>
        <v>0.33407655239053052</v>
      </c>
      <c r="I52">
        <f t="shared" si="3"/>
        <v>1.056442818410646</v>
      </c>
    </row>
    <row r="53" spans="4:9" x14ac:dyDescent="0.2">
      <c r="D53">
        <f t="shared" si="4"/>
        <v>13</v>
      </c>
      <c r="E53">
        <f t="shared" si="0"/>
        <v>1.2999999999999999E-5</v>
      </c>
      <c r="F53">
        <f t="shared" si="1"/>
        <v>13</v>
      </c>
      <c r="G53">
        <f>$E$7/SQRT(E53)</f>
        <v>277.3500981126146</v>
      </c>
      <c r="H53">
        <f t="shared" si="2"/>
        <v>0.34668762264076824</v>
      </c>
      <c r="I53">
        <f t="shared" si="3"/>
        <v>1.0963225241337866</v>
      </c>
    </row>
    <row r="54" spans="4:9" x14ac:dyDescent="0.2">
      <c r="D54">
        <f t="shared" si="4"/>
        <v>12</v>
      </c>
      <c r="E54">
        <f t="shared" si="0"/>
        <v>1.2E-5</v>
      </c>
      <c r="F54">
        <f t="shared" si="1"/>
        <v>12</v>
      </c>
      <c r="G54">
        <f>$E$7/SQRT(E54)</f>
        <v>288.67513459481285</v>
      </c>
      <c r="H54">
        <f t="shared" si="2"/>
        <v>0.36084391824351608</v>
      </c>
      <c r="I54">
        <f t="shared" si="3"/>
        <v>1.141088661469096</v>
      </c>
    </row>
    <row r="55" spans="4:9" x14ac:dyDescent="0.2">
      <c r="D55">
        <f t="shared" si="4"/>
        <v>11</v>
      </c>
      <c r="E55">
        <f t="shared" si="0"/>
        <v>1.1E-5</v>
      </c>
      <c r="F55">
        <f t="shared" si="1"/>
        <v>11</v>
      </c>
      <c r="G55">
        <f>$E$7/SQRT(E55)</f>
        <v>301.51134457776362</v>
      </c>
      <c r="H55">
        <f t="shared" si="2"/>
        <v>0.37688918072220456</v>
      </c>
      <c r="I55">
        <f t="shared" si="3"/>
        <v>1.1918282365569906</v>
      </c>
    </row>
    <row r="56" spans="4:9" x14ac:dyDescent="0.2">
      <c r="D56">
        <f t="shared" si="4"/>
        <v>10</v>
      </c>
      <c r="E56">
        <f t="shared" si="0"/>
        <v>9.9999999999999991E-6</v>
      </c>
      <c r="F56">
        <f t="shared" si="1"/>
        <v>10</v>
      </c>
      <c r="G56">
        <f>$E$7/SQRT(E56)</f>
        <v>316.2277660168379</v>
      </c>
      <c r="H56">
        <f t="shared" si="2"/>
        <v>0.39528470752104738</v>
      </c>
      <c r="I56">
        <f t="shared" si="3"/>
        <v>1.25</v>
      </c>
    </row>
    <row r="57" spans="4:9" x14ac:dyDescent="0.2">
      <c r="D57">
        <f t="shared" si="4"/>
        <v>9</v>
      </c>
      <c r="E57">
        <f t="shared" si="0"/>
        <v>9.0000000000000002E-6</v>
      </c>
      <c r="F57">
        <f t="shared" si="1"/>
        <v>9</v>
      </c>
      <c r="G57">
        <f>$E$7/SQRT(E57)</f>
        <v>333.33333333333331</v>
      </c>
      <c r="H57">
        <f t="shared" si="2"/>
        <v>0.41666666666666663</v>
      </c>
      <c r="I57">
        <f t="shared" si="3"/>
        <v>1.3176156917368247</v>
      </c>
    </row>
    <row r="58" spans="4:9" x14ac:dyDescent="0.2">
      <c r="D58">
        <f t="shared" si="4"/>
        <v>8</v>
      </c>
      <c r="E58">
        <f t="shared" si="0"/>
        <v>7.9999999999999996E-6</v>
      </c>
      <c r="F58">
        <f t="shared" si="1"/>
        <v>8</v>
      </c>
      <c r="G58">
        <f>$E$7/SQRT(E58)</f>
        <v>353.55339059327378</v>
      </c>
      <c r="H58">
        <f t="shared" si="2"/>
        <v>0.44194173824159227</v>
      </c>
      <c r="I58">
        <f t="shared" si="3"/>
        <v>1.3975424859373689</v>
      </c>
    </row>
    <row r="59" spans="4:9" x14ac:dyDescent="0.2">
      <c r="D59">
        <f t="shared" si="4"/>
        <v>7</v>
      </c>
      <c r="E59">
        <f t="shared" si="0"/>
        <v>6.9999999999999999E-6</v>
      </c>
      <c r="F59">
        <f t="shared" si="1"/>
        <v>7</v>
      </c>
      <c r="G59">
        <f>$E$7/SQRT(E59)</f>
        <v>377.96447300922722</v>
      </c>
      <c r="H59">
        <f t="shared" si="2"/>
        <v>0.47245559126153402</v>
      </c>
      <c r="I59">
        <f t="shared" si="3"/>
        <v>1.494035761667992</v>
      </c>
    </row>
    <row r="60" spans="4:9" x14ac:dyDescent="0.2">
      <c r="D60">
        <f t="shared" si="4"/>
        <v>6</v>
      </c>
      <c r="E60">
        <f t="shared" si="0"/>
        <v>6.0000000000000002E-6</v>
      </c>
      <c r="F60">
        <f t="shared" si="1"/>
        <v>6</v>
      </c>
      <c r="G60">
        <f>$E$7/SQRT(E60)</f>
        <v>408.24829046386299</v>
      </c>
      <c r="H60">
        <f t="shared" si="2"/>
        <v>0.5103103630798288</v>
      </c>
      <c r="I60">
        <f t="shared" si="3"/>
        <v>1.6137430609197572</v>
      </c>
    </row>
    <row r="61" spans="4:9" x14ac:dyDescent="0.2">
      <c r="D61">
        <f t="shared" si="4"/>
        <v>5</v>
      </c>
      <c r="E61">
        <f t="shared" si="0"/>
        <v>4.9999999999999996E-6</v>
      </c>
      <c r="F61">
        <f t="shared" si="1"/>
        <v>5</v>
      </c>
      <c r="G61">
        <f>$E$7/SQRT(E61)</f>
        <v>447.21359549995799</v>
      </c>
      <c r="H61">
        <f t="shared" si="2"/>
        <v>0.55901699437494745</v>
      </c>
      <c r="I61">
        <f t="shared" si="3"/>
        <v>1.7677669529663691</v>
      </c>
    </row>
    <row r="62" spans="4:9" x14ac:dyDescent="0.2">
      <c r="D62">
        <f t="shared" si="4"/>
        <v>4</v>
      </c>
      <c r="E62">
        <f t="shared" si="0"/>
        <v>3.9999999999999998E-6</v>
      </c>
      <c r="F62">
        <f t="shared" si="1"/>
        <v>4</v>
      </c>
      <c r="G62">
        <f>$E$7/SQRT(E62)</f>
        <v>500</v>
      </c>
      <c r="H62">
        <f t="shared" si="2"/>
        <v>0.625</v>
      </c>
      <c r="I62">
        <f t="shared" si="3"/>
        <v>1.9764235376052373</v>
      </c>
    </row>
    <row r="63" spans="4:9" x14ac:dyDescent="0.2">
      <c r="D63">
        <f t="shared" si="4"/>
        <v>3</v>
      </c>
      <c r="E63">
        <f t="shared" si="0"/>
        <v>3.0000000000000001E-6</v>
      </c>
      <c r="F63">
        <f t="shared" si="1"/>
        <v>3</v>
      </c>
      <c r="G63">
        <f>$E$7/SQRT(E63)</f>
        <v>577.35026918962569</v>
      </c>
      <c r="H63">
        <f t="shared" si="2"/>
        <v>0.72168783648703216</v>
      </c>
      <c r="I63">
        <f t="shared" si="3"/>
        <v>2.2821773229381921</v>
      </c>
    </row>
    <row r="64" spans="4:9" x14ac:dyDescent="0.2">
      <c r="D64">
        <f t="shared" si="4"/>
        <v>2</v>
      </c>
      <c r="E64">
        <f t="shared" si="0"/>
        <v>1.9999999999999999E-6</v>
      </c>
      <c r="F64">
        <f t="shared" si="1"/>
        <v>2</v>
      </c>
      <c r="G64">
        <f>$E$7/SQRT(E64)</f>
        <v>707.10678118654755</v>
      </c>
      <c r="H64">
        <f t="shared" si="2"/>
        <v>0.88388347648318455</v>
      </c>
      <c r="I64">
        <f t="shared" si="3"/>
        <v>2.7950849718747377</v>
      </c>
    </row>
    <row r="65" spans="4:9" x14ac:dyDescent="0.2">
      <c r="D65">
        <f t="shared" si="4"/>
        <v>1</v>
      </c>
      <c r="E65">
        <f t="shared" si="0"/>
        <v>9.9999999999999995E-7</v>
      </c>
      <c r="F65">
        <f t="shared" si="1"/>
        <v>1</v>
      </c>
      <c r="G65">
        <f>$E$7/SQRT(E65)</f>
        <v>1000</v>
      </c>
      <c r="H65">
        <f t="shared" si="2"/>
        <v>1.25</v>
      </c>
      <c r="I65">
        <f t="shared" si="3"/>
        <v>3.9528470752104745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E9BA1-554F-FA4D-9183-F58A16E6FC1B}">
  <dimension ref="C9:K34"/>
  <sheetViews>
    <sheetView topLeftCell="A28" workbookViewId="0">
      <selection activeCell="B34" sqref="B34"/>
    </sheetView>
  </sheetViews>
  <sheetFormatPr baseColWidth="10" defaultRowHeight="15" x14ac:dyDescent="0.2"/>
  <cols>
    <col min="8" max="8" width="12" bestFit="1" customWidth="1"/>
  </cols>
  <sheetData>
    <row r="9" spans="3:11" x14ac:dyDescent="0.2">
      <c r="H9" t="s">
        <v>88</v>
      </c>
    </row>
    <row r="10" spans="3:11" x14ac:dyDescent="0.2">
      <c r="D10" t="s">
        <v>25</v>
      </c>
    </row>
    <row r="13" spans="3:11" x14ac:dyDescent="0.2">
      <c r="G13" t="s">
        <v>24</v>
      </c>
      <c r="H13" t="s">
        <v>86</v>
      </c>
      <c r="J13" t="s">
        <v>26</v>
      </c>
      <c r="K13" t="s">
        <v>87</v>
      </c>
    </row>
    <row r="14" spans="3:11" x14ac:dyDescent="0.2">
      <c r="C14">
        <v>0</v>
      </c>
      <c r="D14">
        <f>3.141*C14/180</f>
        <v>0</v>
      </c>
      <c r="E14">
        <f>COS(D14)</f>
        <v>1</v>
      </c>
      <c r="G14">
        <f>(2*3.141/6)*(2-3*E14+E14^3)</f>
        <v>0</v>
      </c>
      <c r="H14">
        <f>G14/$G$34</f>
        <v>0</v>
      </c>
      <c r="J14">
        <v>0</v>
      </c>
      <c r="K14" s="3">
        <v>0</v>
      </c>
    </row>
    <row r="15" spans="3:11" x14ac:dyDescent="0.2">
      <c r="C15">
        <f>C14+5</f>
        <v>5</v>
      </c>
      <c r="D15">
        <f t="shared" ref="D15:D32" si="0">3.141*C15/180</f>
        <v>8.7249999999999994E-2</v>
      </c>
      <c r="E15">
        <f t="shared" ref="E15:E32" si="1">COS(D15)</f>
        <v>0.99619613276685837</v>
      </c>
      <c r="G15">
        <f t="shared" ref="G15:G32" si="2">(2*3.141/6)*(2-3*E15+E15^3)</f>
        <v>4.5390777452802065E-5</v>
      </c>
      <c r="H15">
        <f>G15/(2*$G$34)</f>
        <v>1.0843114178421557E-5</v>
      </c>
      <c r="J15">
        <f>J14+5</f>
        <v>5</v>
      </c>
      <c r="K15" s="3">
        <v>1.0843114178421557E-5</v>
      </c>
    </row>
    <row r="16" spans="3:11" x14ac:dyDescent="0.2">
      <c r="C16">
        <f t="shared" ref="C16:C32" si="3">C15+5</f>
        <v>10</v>
      </c>
      <c r="D16">
        <f t="shared" si="0"/>
        <v>0.17449999999999999</v>
      </c>
      <c r="E16">
        <f t="shared" si="1"/>
        <v>0.98481346987928819</v>
      </c>
      <c r="G16">
        <f t="shared" si="2"/>
        <v>7.2074392302438114E-4</v>
      </c>
      <c r="H16">
        <f t="shared" ref="H16:H32" si="4">G16/(2*$G$34)</f>
        <v>1.7217393244438469E-4</v>
      </c>
      <c r="J16">
        <f t="shared" ref="J16:J32" si="5">J15+5</f>
        <v>10</v>
      </c>
      <c r="K16" s="3">
        <v>1.7217393244438469E-4</v>
      </c>
    </row>
    <row r="17" spans="3:11" x14ac:dyDescent="0.2">
      <c r="C17">
        <f t="shared" si="3"/>
        <v>15</v>
      </c>
      <c r="D17">
        <f t="shared" si="0"/>
        <v>0.26175000000000004</v>
      </c>
      <c r="E17">
        <f t="shared" si="1"/>
        <v>0.96593860761405737</v>
      </c>
      <c r="G17">
        <f t="shared" si="2"/>
        <v>3.6027459091769395E-3</v>
      </c>
      <c r="H17">
        <f t="shared" si="4"/>
        <v>8.6063705980068364E-4</v>
      </c>
      <c r="J17">
        <f t="shared" si="5"/>
        <v>15</v>
      </c>
      <c r="K17" s="3">
        <v>8.6063705980068364E-4</v>
      </c>
    </row>
    <row r="18" spans="3:11" x14ac:dyDescent="0.2">
      <c r="C18">
        <f t="shared" si="3"/>
        <v>20</v>
      </c>
      <c r="D18">
        <f t="shared" si="0"/>
        <v>0.34899999999999998</v>
      </c>
      <c r="E18">
        <f t="shared" si="1"/>
        <v>0.93971514091136743</v>
      </c>
      <c r="G18">
        <f t="shared" si="2"/>
        <v>1.1185835573829392E-2</v>
      </c>
      <c r="H18">
        <f t="shared" si="4"/>
        <v>2.6721131276986813E-3</v>
      </c>
      <c r="J18">
        <f t="shared" si="5"/>
        <v>20</v>
      </c>
      <c r="K18" s="3">
        <v>2.6721131276986813E-3</v>
      </c>
    </row>
    <row r="19" spans="3:11" x14ac:dyDescent="0.2">
      <c r="C19">
        <f t="shared" si="3"/>
        <v>25</v>
      </c>
      <c r="D19">
        <f t="shared" si="0"/>
        <v>0.43625000000000003</v>
      </c>
      <c r="E19">
        <f t="shared" si="1"/>
        <v>0.90634257094267789</v>
      </c>
      <c r="G19">
        <f t="shared" si="2"/>
        <v>2.6691805345434617E-2</v>
      </c>
      <c r="H19">
        <f t="shared" si="4"/>
        <v>6.3762356414735471E-3</v>
      </c>
      <c r="J19">
        <f t="shared" si="5"/>
        <v>25</v>
      </c>
      <c r="K19" s="3">
        <v>6.3762356414735471E-3</v>
      </c>
    </row>
    <row r="20" spans="3:11" x14ac:dyDescent="0.2">
      <c r="C20">
        <f t="shared" si="3"/>
        <v>30</v>
      </c>
      <c r="D20">
        <f t="shared" si="0"/>
        <v>0.52350000000000008</v>
      </c>
      <c r="E20">
        <f t="shared" si="1"/>
        <v>0.86607478735876786</v>
      </c>
      <c r="G20">
        <f t="shared" si="2"/>
        <v>5.3821883217011486E-2</v>
      </c>
      <c r="H20">
        <f t="shared" si="4"/>
        <v>1.28571674196715E-2</v>
      </c>
      <c r="J20">
        <f t="shared" si="5"/>
        <v>30</v>
      </c>
      <c r="K20" s="3">
        <v>1.28571674196715E-2</v>
      </c>
    </row>
    <row r="21" spans="3:11" x14ac:dyDescent="0.2">
      <c r="C21">
        <f t="shared" si="3"/>
        <v>35</v>
      </c>
      <c r="D21">
        <f t="shared" si="0"/>
        <v>0.61075000000000002</v>
      </c>
      <c r="E21">
        <f t="shared" si="1"/>
        <v>0.81921813676468969</v>
      </c>
      <c r="G21">
        <f t="shared" si="2"/>
        <v>9.6468400703625917E-2</v>
      </c>
      <c r="H21">
        <f t="shared" si="4"/>
        <v>2.3044722785962448E-2</v>
      </c>
      <c r="J21">
        <f t="shared" si="5"/>
        <v>35</v>
      </c>
      <c r="K21" s="3">
        <v>2.3044722785962448E-2</v>
      </c>
    </row>
    <row r="22" spans="3:11" x14ac:dyDescent="0.2">
      <c r="C22">
        <f t="shared" si="3"/>
        <v>40</v>
      </c>
      <c r="D22">
        <f t="shared" si="0"/>
        <v>0.69799999999999995</v>
      </c>
      <c r="E22">
        <f t="shared" si="1"/>
        <v>0.76612909211614244</v>
      </c>
      <c r="G22">
        <f t="shared" si="2"/>
        <v>0.15840596411998584</v>
      </c>
      <c r="H22">
        <f t="shared" si="4"/>
        <v>3.7840593439536316E-2</v>
      </c>
      <c r="J22">
        <f t="shared" si="5"/>
        <v>40</v>
      </c>
      <c r="K22" s="3">
        <v>3.7840593439536316E-2</v>
      </c>
    </row>
    <row r="23" spans="3:11" x14ac:dyDescent="0.2">
      <c r="C23">
        <f t="shared" si="3"/>
        <v>45</v>
      </c>
      <c r="D23">
        <f t="shared" si="0"/>
        <v>0.78525</v>
      </c>
      <c r="E23">
        <f t="shared" si="1"/>
        <v>0.70721154076788084</v>
      </c>
      <c r="G23">
        <f t="shared" si="2"/>
        <v>0.24298349969769703</v>
      </c>
      <c r="H23">
        <f t="shared" si="4"/>
        <v>5.8044783071499108E-2</v>
      </c>
      <c r="J23">
        <f t="shared" si="5"/>
        <v>45</v>
      </c>
      <c r="K23" s="3">
        <v>5.8044783071499108E-2</v>
      </c>
    </row>
    <row r="24" spans="3:11" x14ac:dyDescent="0.2">
      <c r="C24">
        <f t="shared" si="3"/>
        <v>50</v>
      </c>
      <c r="D24">
        <f t="shared" si="0"/>
        <v>0.87250000000000005</v>
      </c>
      <c r="E24">
        <f t="shared" si="1"/>
        <v>0.64291371180596613</v>
      </c>
      <c r="G24">
        <f t="shared" si="2"/>
        <v>0.35283853789766878</v>
      </c>
      <c r="H24">
        <f t="shared" si="4"/>
        <v>8.4287354561175629E-2</v>
      </c>
      <c r="J24">
        <f t="shared" si="5"/>
        <v>50</v>
      </c>
      <c r="K24" s="3">
        <v>8.4287354561175629E-2</v>
      </c>
    </row>
    <row r="25" spans="3:11" x14ac:dyDescent="0.2">
      <c r="C25">
        <f t="shared" si="3"/>
        <v>55</v>
      </c>
      <c r="D25">
        <f t="shared" si="0"/>
        <v>0.95974999999999999</v>
      </c>
      <c r="E25">
        <f t="shared" si="1"/>
        <v>0.57372476603989908</v>
      </c>
      <c r="G25">
        <f t="shared" si="2"/>
        <v>0.48965363870033513</v>
      </c>
      <c r="H25">
        <f t="shared" si="4"/>
        <v>0.11697024396262135</v>
      </c>
      <c r="J25">
        <f t="shared" si="5"/>
        <v>55</v>
      </c>
      <c r="K25" s="3">
        <v>0.11697024396262135</v>
      </c>
    </row>
    <row r="26" spans="3:11" x14ac:dyDescent="0.2">
      <c r="C26">
        <f t="shared" si="3"/>
        <v>60</v>
      </c>
      <c r="D26">
        <f t="shared" si="0"/>
        <v>1.0470000000000002</v>
      </c>
      <c r="E26">
        <f t="shared" si="1"/>
        <v>0.50017107459706989</v>
      </c>
      <c r="G26">
        <f t="shared" si="2"/>
        <v>0.65397203698626072</v>
      </c>
      <c r="H26">
        <f t="shared" si="4"/>
        <v>0.1562232212019361</v>
      </c>
      <c r="J26">
        <f t="shared" si="5"/>
        <v>60</v>
      </c>
      <c r="K26" s="3">
        <v>0.1562232212019361</v>
      </c>
    </row>
    <row r="27" spans="3:11" x14ac:dyDescent="0.2">
      <c r="C27">
        <f t="shared" si="3"/>
        <v>65</v>
      </c>
      <c r="D27">
        <f t="shared" si="0"/>
        <v>1.13425</v>
      </c>
      <c r="E27">
        <f t="shared" si="1"/>
        <v>0.42281221443099098</v>
      </c>
      <c r="G27">
        <f t="shared" si="2"/>
        <v>0.84508559727453347</v>
      </c>
      <c r="H27">
        <f t="shared" si="4"/>
        <v>0.20187712429723256</v>
      </c>
      <c r="J27">
        <f t="shared" si="5"/>
        <v>65</v>
      </c>
      <c r="K27" s="3">
        <v>0.20187712429723256</v>
      </c>
    </row>
    <row r="28" spans="3:11" x14ac:dyDescent="0.2">
      <c r="C28">
        <f t="shared" si="3"/>
        <v>70</v>
      </c>
      <c r="D28">
        <f t="shared" si="0"/>
        <v>1.2215</v>
      </c>
      <c r="E28">
        <f t="shared" si="1"/>
        <v>0.34223671120841959</v>
      </c>
      <c r="G28">
        <f t="shared" si="2"/>
        <v>1.0610032815278625</v>
      </c>
      <c r="H28">
        <f t="shared" si="4"/>
        <v>0.25345632683311448</v>
      </c>
      <c r="J28">
        <f t="shared" si="5"/>
        <v>70</v>
      </c>
      <c r="K28" s="3">
        <v>0.25345632683311448</v>
      </c>
    </row>
    <row r="29" spans="3:11" x14ac:dyDescent="0.2">
      <c r="C29">
        <f t="shared" si="3"/>
        <v>75</v>
      </c>
      <c r="D29">
        <f t="shared" si="0"/>
        <v>1.3087499999999999</v>
      </c>
      <c r="E29">
        <f t="shared" si="1"/>
        <v>0.25905756196236074</v>
      </c>
      <c r="G29">
        <f t="shared" si="2"/>
        <v>1.2985028849721867</v>
      </c>
      <c r="H29">
        <f t="shared" si="4"/>
        <v>0.31019109680162654</v>
      </c>
      <c r="J29">
        <f t="shared" si="5"/>
        <v>75</v>
      </c>
      <c r="K29" s="3">
        <v>0.31019109680162654</v>
      </c>
    </row>
    <row r="30" spans="3:11" x14ac:dyDescent="0.2">
      <c r="C30">
        <f t="shared" si="3"/>
        <v>80</v>
      </c>
      <c r="D30">
        <f t="shared" si="0"/>
        <v>1.3959999999999999</v>
      </c>
      <c r="E30">
        <f t="shared" si="1"/>
        <v>0.17390757157340928</v>
      </c>
      <c r="G30">
        <f t="shared" si="2"/>
        <v>1.5532631538258228</v>
      </c>
      <c r="H30">
        <f t="shared" si="4"/>
        <v>0.37104915736641253</v>
      </c>
      <c r="J30">
        <f t="shared" si="5"/>
        <v>80</v>
      </c>
      <c r="K30" s="3">
        <v>0.37104915736641253</v>
      </c>
    </row>
    <row r="31" spans="3:11" x14ac:dyDescent="0.2">
      <c r="C31">
        <f t="shared" si="3"/>
        <v>85</v>
      </c>
      <c r="D31">
        <f t="shared" si="0"/>
        <v>1.4832500000000002</v>
      </c>
      <c r="E31">
        <f t="shared" si="1"/>
        <v>8.7434538558250952E-2</v>
      </c>
      <c r="G31">
        <f t="shared" si="2"/>
        <v>1.8200679495339365</v>
      </c>
      <c r="H31">
        <f t="shared" si="4"/>
        <v>0.43478445835837476</v>
      </c>
      <c r="J31">
        <f t="shared" si="5"/>
        <v>85</v>
      </c>
      <c r="K31" s="3">
        <v>0.43478445835837476</v>
      </c>
    </row>
    <row r="32" spans="3:11" x14ac:dyDescent="0.2">
      <c r="C32">
        <f t="shared" si="3"/>
        <v>90</v>
      </c>
      <c r="D32">
        <f t="shared" si="0"/>
        <v>1.5705</v>
      </c>
      <c r="E32">
        <f t="shared" si="1"/>
        <v>2.9632679055989079E-4</v>
      </c>
      <c r="G32">
        <f t="shared" si="2"/>
        <v>2.0930692375780944</v>
      </c>
      <c r="H32">
        <f t="shared" si="4"/>
        <v>0.5</v>
      </c>
      <c r="J32">
        <f t="shared" si="5"/>
        <v>90</v>
      </c>
      <c r="K32" s="3">
        <v>0.5</v>
      </c>
    </row>
    <row r="34" spans="6:7" x14ac:dyDescent="0.2">
      <c r="F34">
        <f>(4*3.141/3)</f>
        <v>4.1879999999999997</v>
      </c>
      <c r="G34">
        <v>2.0930692375780944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14A86-0F9A-5141-A271-FF827B3DDE3D}">
  <dimension ref="A1:L32"/>
  <sheetViews>
    <sheetView zoomScale="132" zoomScaleNormal="132" workbookViewId="0">
      <selection activeCell="B2" sqref="B2:D9"/>
    </sheetView>
  </sheetViews>
  <sheetFormatPr baseColWidth="10" defaultRowHeight="15" x14ac:dyDescent="0.2"/>
  <cols>
    <col min="3" max="3" width="12" bestFit="1" customWidth="1"/>
    <col min="4" max="4" width="11" bestFit="1" customWidth="1"/>
    <col min="7" max="7" width="11.85546875" customWidth="1"/>
    <col min="9" max="9" width="12" bestFit="1" customWidth="1"/>
  </cols>
  <sheetData>
    <row r="1" spans="1:10" x14ac:dyDescent="0.2">
      <c r="A1" t="s">
        <v>27</v>
      </c>
    </row>
    <row r="2" spans="1:10" ht="16" x14ac:dyDescent="0.2">
      <c r="B2" t="s">
        <v>13</v>
      </c>
      <c r="C2">
        <v>18</v>
      </c>
      <c r="D2" t="s">
        <v>14</v>
      </c>
      <c r="E2" s="4"/>
    </row>
    <row r="3" spans="1:10" x14ac:dyDescent="0.2">
      <c r="B3" t="s">
        <v>15</v>
      </c>
      <c r="C3">
        <v>1</v>
      </c>
      <c r="D3" t="s">
        <v>16</v>
      </c>
    </row>
    <row r="4" spans="1:10" x14ac:dyDescent="0.2">
      <c r="B4" t="s">
        <v>17</v>
      </c>
      <c r="C4" s="2">
        <v>6.02E+23</v>
      </c>
      <c r="D4" t="s">
        <v>18</v>
      </c>
    </row>
    <row r="6" spans="1:10" x14ac:dyDescent="0.2">
      <c r="B6" t="s">
        <v>19</v>
      </c>
      <c r="C6" s="2">
        <f>C2/(C3*C4)</f>
        <v>2.9900332225913623E-23</v>
      </c>
      <c r="D6" t="s">
        <v>20</v>
      </c>
    </row>
    <row r="7" spans="1:10" x14ac:dyDescent="0.2">
      <c r="C7" s="2">
        <f>C6*0.000001</f>
        <v>2.990033222591362E-29</v>
      </c>
      <c r="D7" t="s">
        <v>21</v>
      </c>
      <c r="G7" t="s">
        <v>17</v>
      </c>
    </row>
    <row r="8" spans="1:10" x14ac:dyDescent="0.2">
      <c r="B8" t="s">
        <v>22</v>
      </c>
      <c r="C8" s="2">
        <f>C7^(1/3)</f>
        <v>3.1037876777349694E-10</v>
      </c>
      <c r="D8" t="s">
        <v>8</v>
      </c>
    </row>
    <row r="9" spans="1:10" x14ac:dyDescent="0.2">
      <c r="C9" s="2">
        <f>C8*1000000000</f>
        <v>0.31037876777349693</v>
      </c>
      <c r="D9" t="s">
        <v>2</v>
      </c>
    </row>
    <row r="10" spans="1:10" x14ac:dyDescent="0.2">
      <c r="G10" t="s">
        <v>44</v>
      </c>
    </row>
    <row r="11" spans="1:10" x14ac:dyDescent="0.2">
      <c r="B11" s="5" t="s">
        <v>28</v>
      </c>
    </row>
    <row r="12" spans="1:10" x14ac:dyDescent="0.2">
      <c r="B12" t="s">
        <v>29</v>
      </c>
      <c r="D12">
        <v>7.1999999999999995E-2</v>
      </c>
      <c r="E12" t="s">
        <v>30</v>
      </c>
      <c r="G12" t="s">
        <v>31</v>
      </c>
      <c r="I12">
        <v>41</v>
      </c>
      <c r="J12" t="s">
        <v>32</v>
      </c>
    </row>
    <row r="13" spans="1:10" x14ac:dyDescent="0.2">
      <c r="I13">
        <f>I12*1000</f>
        <v>41000</v>
      </c>
      <c r="J13" t="s">
        <v>43</v>
      </c>
    </row>
    <row r="14" spans="1:10" x14ac:dyDescent="0.2">
      <c r="B14" t="s">
        <v>31</v>
      </c>
      <c r="D14">
        <v>41</v>
      </c>
      <c r="E14" t="s">
        <v>32</v>
      </c>
      <c r="G14" t="s">
        <v>45</v>
      </c>
      <c r="I14" s="2">
        <f>I13/C4</f>
        <v>6.810631229235881E-20</v>
      </c>
      <c r="J14" t="s">
        <v>46</v>
      </c>
    </row>
    <row r="15" spans="1:10" x14ac:dyDescent="0.2">
      <c r="D15">
        <f>D14*1000</f>
        <v>41000</v>
      </c>
      <c r="E15" t="s">
        <v>43</v>
      </c>
      <c r="G15" t="s">
        <v>48</v>
      </c>
      <c r="H15">
        <v>0.33</v>
      </c>
    </row>
    <row r="16" spans="1:10" x14ac:dyDescent="0.2">
      <c r="D16">
        <f>D15/C20</f>
        <v>2277777777.7777777</v>
      </c>
      <c r="E16" t="s">
        <v>41</v>
      </c>
      <c r="G16" t="s">
        <v>47</v>
      </c>
      <c r="I16" s="2">
        <f>I14*H15</f>
        <v>2.2475083056478408E-20</v>
      </c>
      <c r="J16" t="s">
        <v>46</v>
      </c>
    </row>
    <row r="17" spans="2:12" x14ac:dyDescent="0.2">
      <c r="B17" t="s">
        <v>33</v>
      </c>
      <c r="C17">
        <v>18</v>
      </c>
      <c r="D17" t="s">
        <v>34</v>
      </c>
    </row>
    <row r="18" spans="2:12" x14ac:dyDescent="0.2">
      <c r="B18" t="s">
        <v>35</v>
      </c>
      <c r="C18">
        <v>1</v>
      </c>
      <c r="D18" t="s">
        <v>16</v>
      </c>
    </row>
    <row r="19" spans="2:12" x14ac:dyDescent="0.2">
      <c r="B19" t="s">
        <v>36</v>
      </c>
      <c r="C19">
        <f>C17/C18</f>
        <v>18</v>
      </c>
      <c r="D19" t="s">
        <v>20</v>
      </c>
      <c r="G19" t="s">
        <v>49</v>
      </c>
      <c r="H19" t="s">
        <v>50</v>
      </c>
      <c r="I19">
        <v>2.990033222591362E-29</v>
      </c>
      <c r="J19" t="s">
        <v>21</v>
      </c>
    </row>
    <row r="20" spans="2:12" x14ac:dyDescent="0.2">
      <c r="C20">
        <f>C19*0.000001</f>
        <v>1.8E-5</v>
      </c>
      <c r="D20" t="s">
        <v>21</v>
      </c>
      <c r="H20" t="s">
        <v>51</v>
      </c>
      <c r="I20">
        <f>I19^(2/3)</f>
        <v>9.633497948459435E-20</v>
      </c>
      <c r="J20" t="s">
        <v>52</v>
      </c>
    </row>
    <row r="21" spans="2:12" x14ac:dyDescent="0.2">
      <c r="H21" t="s">
        <v>54</v>
      </c>
      <c r="I21">
        <f>1/I20</f>
        <v>1.0380445455535884E+19</v>
      </c>
      <c r="J21" t="s">
        <v>53</v>
      </c>
      <c r="K21" t="s">
        <v>62</v>
      </c>
      <c r="L21" s="2">
        <f>I21/C4</f>
        <v>1.7243264876305457E-5</v>
      </c>
    </row>
    <row r="22" spans="2:12" x14ac:dyDescent="0.2">
      <c r="B22" t="s">
        <v>37</v>
      </c>
      <c r="C22">
        <v>283</v>
      </c>
      <c r="D22" t="s">
        <v>38</v>
      </c>
      <c r="H22" t="s">
        <v>55</v>
      </c>
      <c r="I22" s="2">
        <f>I16*I21</f>
        <v>0.23330137377641286</v>
      </c>
      <c r="J22" t="s">
        <v>30</v>
      </c>
    </row>
    <row r="23" spans="2:12" x14ac:dyDescent="0.2">
      <c r="B23" t="s">
        <v>39</v>
      </c>
      <c r="C23">
        <v>10</v>
      </c>
      <c r="D23" t="s">
        <v>38</v>
      </c>
    </row>
    <row r="24" spans="2:12" x14ac:dyDescent="0.2">
      <c r="G24" t="s">
        <v>57</v>
      </c>
      <c r="I24" s="2">
        <f>I22-D12</f>
        <v>0.16130137377641285</v>
      </c>
      <c r="J24" t="s">
        <v>30</v>
      </c>
    </row>
    <row r="25" spans="2:12" x14ac:dyDescent="0.2">
      <c r="B25" t="s">
        <v>40</v>
      </c>
      <c r="C25">
        <f>D16*C23/C22</f>
        <v>80486847.271299571</v>
      </c>
      <c r="D25" t="s">
        <v>41</v>
      </c>
      <c r="G25" t="s">
        <v>56</v>
      </c>
      <c r="H25">
        <v>300</v>
      </c>
      <c r="I25" t="s">
        <v>38</v>
      </c>
    </row>
    <row r="26" spans="2:12" x14ac:dyDescent="0.2">
      <c r="G26" t="s">
        <v>58</v>
      </c>
      <c r="I26" s="2">
        <f>I24/H25</f>
        <v>5.3767124592137613E-4</v>
      </c>
      <c r="J26" t="s">
        <v>59</v>
      </c>
    </row>
    <row r="28" spans="2:12" x14ac:dyDescent="0.2">
      <c r="B28" t="s">
        <v>42</v>
      </c>
      <c r="C28">
        <f>2*D12/C25</f>
        <v>1.789112195121951E-9</v>
      </c>
      <c r="D28" t="s">
        <v>8</v>
      </c>
      <c r="G28" t="s">
        <v>60</v>
      </c>
      <c r="H28">
        <v>8.31</v>
      </c>
      <c r="I28" t="s">
        <v>61</v>
      </c>
    </row>
    <row r="29" spans="2:12" x14ac:dyDescent="0.2">
      <c r="C29">
        <f>C28*1000000000</f>
        <v>1.7891121951219511</v>
      </c>
      <c r="D29" t="s">
        <v>2</v>
      </c>
      <c r="G29" t="s">
        <v>63</v>
      </c>
      <c r="H29">
        <v>10</v>
      </c>
    </row>
    <row r="30" spans="2:12" x14ac:dyDescent="0.2">
      <c r="G30" t="s">
        <v>64</v>
      </c>
      <c r="H30">
        <f>LN(H29)</f>
        <v>2.3025850929940459</v>
      </c>
    </row>
    <row r="31" spans="2:12" x14ac:dyDescent="0.2">
      <c r="G31" t="s">
        <v>65</v>
      </c>
      <c r="H31">
        <f>H28*H30</f>
        <v>19.134482122780522</v>
      </c>
    </row>
    <row r="32" spans="2:12" x14ac:dyDescent="0.2">
      <c r="G32" t="s">
        <v>66</v>
      </c>
      <c r="H32" s="2">
        <f>H31*L21</f>
        <v>3.2994094351403603E-4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5B527-440E-C147-9396-1A135EB675C8}">
  <dimension ref="C6:F24"/>
  <sheetViews>
    <sheetView workbookViewId="0">
      <selection activeCell="F20" sqref="F20"/>
    </sheetView>
  </sheetViews>
  <sheetFormatPr baseColWidth="10" defaultRowHeight="15" x14ac:dyDescent="0.2"/>
  <cols>
    <col min="5" max="5" width="12" bestFit="1" customWidth="1"/>
  </cols>
  <sheetData>
    <row r="6" spans="3:6" x14ac:dyDescent="0.2">
      <c r="C6" t="s">
        <v>67</v>
      </c>
    </row>
    <row r="9" spans="3:6" x14ac:dyDescent="0.2">
      <c r="C9" t="s">
        <v>68</v>
      </c>
      <c r="D9" t="s">
        <v>69</v>
      </c>
      <c r="E9">
        <v>60</v>
      </c>
      <c r="F9" t="s">
        <v>70</v>
      </c>
    </row>
    <row r="10" spans="3:6" x14ac:dyDescent="0.2">
      <c r="D10" t="s">
        <v>15</v>
      </c>
      <c r="E10">
        <v>2.65</v>
      </c>
      <c r="F10" t="s">
        <v>16</v>
      </c>
    </row>
    <row r="12" spans="3:6" x14ac:dyDescent="0.2">
      <c r="D12" t="s">
        <v>71</v>
      </c>
      <c r="E12">
        <f>E9/E10</f>
        <v>22.641509433962266</v>
      </c>
      <c r="F12" t="s">
        <v>20</v>
      </c>
    </row>
    <row r="13" spans="3:6" x14ac:dyDescent="0.2">
      <c r="E13">
        <f>E12*0.000001</f>
        <v>2.2641509433962265E-5</v>
      </c>
      <c r="F13" t="s">
        <v>21</v>
      </c>
    </row>
    <row r="15" spans="3:6" x14ac:dyDescent="0.2">
      <c r="D15" t="s">
        <v>72</v>
      </c>
      <c r="E15">
        <v>75</v>
      </c>
      <c r="F15" t="s">
        <v>73</v>
      </c>
    </row>
    <row r="16" spans="3:6" x14ac:dyDescent="0.2">
      <c r="E16">
        <f>E15*1000000000</f>
        <v>75000000000</v>
      </c>
      <c r="F16" t="s">
        <v>74</v>
      </c>
    </row>
    <row r="18" spans="3:6" x14ac:dyDescent="0.2">
      <c r="D18" t="s">
        <v>75</v>
      </c>
      <c r="E18">
        <v>3.141</v>
      </c>
    </row>
    <row r="20" spans="3:6" x14ac:dyDescent="0.2">
      <c r="D20" t="s">
        <v>76</v>
      </c>
      <c r="E20">
        <v>12</v>
      </c>
      <c r="F20" t="s">
        <v>79</v>
      </c>
    </row>
    <row r="23" spans="3:6" x14ac:dyDescent="0.2">
      <c r="C23" t="s">
        <v>77</v>
      </c>
      <c r="E23">
        <f>E16*E13*E20/(4*E18^2)</f>
        <v>516359.32185290998</v>
      </c>
      <c r="F23" t="s">
        <v>43</v>
      </c>
    </row>
    <row r="24" spans="3:6" x14ac:dyDescent="0.2">
      <c r="E24">
        <f>E23/1000</f>
        <v>516.35932185290994</v>
      </c>
      <c r="F24" t="s">
        <v>78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D622C-1751-894E-9E3A-75F331BA587B}">
  <dimension ref="F14:N30"/>
  <sheetViews>
    <sheetView workbookViewId="0">
      <selection activeCell="L22" activeCellId="1" sqref="F22:F30 L22:L30"/>
    </sheetView>
  </sheetViews>
  <sheetFormatPr baseColWidth="10" defaultRowHeight="15" x14ac:dyDescent="0.2"/>
  <sheetData>
    <row r="14" spans="6:8" x14ac:dyDescent="0.2">
      <c r="F14" t="s">
        <v>72</v>
      </c>
      <c r="H14" t="s">
        <v>114</v>
      </c>
    </row>
    <row r="15" spans="6:8" x14ac:dyDescent="0.2">
      <c r="F15" t="s">
        <v>113</v>
      </c>
      <c r="G15" s="2">
        <v>6.6240000000000002E-34</v>
      </c>
      <c r="H15" t="s">
        <v>115</v>
      </c>
    </row>
    <row r="16" spans="6:8" x14ac:dyDescent="0.2">
      <c r="F16" t="s">
        <v>107</v>
      </c>
      <c r="G16" s="2">
        <v>299800000</v>
      </c>
      <c r="H16" t="s">
        <v>116</v>
      </c>
    </row>
    <row r="17" spans="6:14" x14ac:dyDescent="0.2">
      <c r="F17" t="s">
        <v>118</v>
      </c>
      <c r="G17" t="s">
        <v>119</v>
      </c>
    </row>
    <row r="18" spans="6:14" x14ac:dyDescent="0.2">
      <c r="G18" s="2">
        <v>1.602E-19</v>
      </c>
    </row>
    <row r="20" spans="6:14" x14ac:dyDescent="0.2">
      <c r="F20" t="s">
        <v>117</v>
      </c>
      <c r="J20" t="s">
        <v>72</v>
      </c>
    </row>
    <row r="21" spans="6:14" x14ac:dyDescent="0.2">
      <c r="F21">
        <v>100</v>
      </c>
      <c r="G21" t="s">
        <v>2</v>
      </c>
      <c r="H21">
        <f>F21*0.000000001</f>
        <v>1.0000000000000001E-7</v>
      </c>
      <c r="I21" t="s">
        <v>8</v>
      </c>
      <c r="J21" s="2">
        <f>$G$15*$G$16/H21</f>
        <v>1.9858751999999999E-18</v>
      </c>
      <c r="K21" t="s">
        <v>114</v>
      </c>
      <c r="L21" s="10">
        <f>J21/$G$18</f>
        <v>12.396224719101124</v>
      </c>
      <c r="M21" t="s">
        <v>120</v>
      </c>
    </row>
    <row r="22" spans="6:14" x14ac:dyDescent="0.2">
      <c r="F22">
        <f>F21+100</f>
        <v>200</v>
      </c>
      <c r="H22">
        <f t="shared" ref="H22:H30" si="0">F22*0.000000001</f>
        <v>2.0000000000000002E-7</v>
      </c>
      <c r="J22" s="2">
        <f t="shared" ref="J22:J30" si="1">$G$15*$G$16/H22</f>
        <v>9.9293759999999995E-19</v>
      </c>
      <c r="K22" t="s">
        <v>114</v>
      </c>
      <c r="L22" s="10">
        <f t="shared" ref="L22:L30" si="2">J22/$G$18</f>
        <v>6.1981123595505618</v>
      </c>
      <c r="M22" t="s">
        <v>120</v>
      </c>
    </row>
    <row r="23" spans="6:14" x14ac:dyDescent="0.2">
      <c r="F23">
        <f t="shared" ref="F23:F30" si="3">F22+100</f>
        <v>300</v>
      </c>
      <c r="H23">
        <f t="shared" si="0"/>
        <v>3.0000000000000004E-7</v>
      </c>
      <c r="J23" s="2">
        <f t="shared" si="1"/>
        <v>6.6195839999999993E-19</v>
      </c>
      <c r="K23" t="s">
        <v>114</v>
      </c>
      <c r="L23" s="10">
        <f t="shared" si="2"/>
        <v>4.1320749063670412</v>
      </c>
      <c r="M23" t="s">
        <v>120</v>
      </c>
      <c r="N23" t="s">
        <v>123</v>
      </c>
    </row>
    <row r="24" spans="6:14" x14ac:dyDescent="0.2">
      <c r="F24">
        <f t="shared" si="3"/>
        <v>400</v>
      </c>
      <c r="H24">
        <f t="shared" si="0"/>
        <v>4.0000000000000003E-7</v>
      </c>
      <c r="J24" s="2">
        <f t="shared" si="1"/>
        <v>4.9646879999999997E-19</v>
      </c>
      <c r="K24" t="s">
        <v>114</v>
      </c>
      <c r="L24" s="10">
        <f t="shared" si="2"/>
        <v>3.0990561797752809</v>
      </c>
      <c r="M24" t="s">
        <v>120</v>
      </c>
      <c r="N24" t="s">
        <v>121</v>
      </c>
    </row>
    <row r="25" spans="6:14" x14ac:dyDescent="0.2">
      <c r="F25">
        <f t="shared" si="3"/>
        <v>500</v>
      </c>
      <c r="H25">
        <f t="shared" si="0"/>
        <v>5.0000000000000008E-7</v>
      </c>
      <c r="J25" s="2">
        <f t="shared" si="1"/>
        <v>3.9717503999999995E-19</v>
      </c>
      <c r="K25" t="s">
        <v>114</v>
      </c>
      <c r="L25" s="10">
        <f t="shared" si="2"/>
        <v>2.4792449438202246</v>
      </c>
      <c r="M25" t="s">
        <v>120</v>
      </c>
    </row>
    <row r="26" spans="6:14" x14ac:dyDescent="0.2">
      <c r="F26">
        <f t="shared" si="3"/>
        <v>600</v>
      </c>
      <c r="H26">
        <f t="shared" si="0"/>
        <v>6.0000000000000008E-7</v>
      </c>
      <c r="J26" s="2">
        <f t="shared" si="1"/>
        <v>3.3097919999999997E-19</v>
      </c>
      <c r="K26" t="s">
        <v>114</v>
      </c>
      <c r="L26" s="10">
        <f t="shared" si="2"/>
        <v>2.0660374531835206</v>
      </c>
      <c r="M26" t="s">
        <v>120</v>
      </c>
    </row>
    <row r="27" spans="6:14" x14ac:dyDescent="0.2">
      <c r="F27">
        <f t="shared" si="3"/>
        <v>700</v>
      </c>
      <c r="H27">
        <f t="shared" si="0"/>
        <v>7.0000000000000007E-7</v>
      </c>
      <c r="J27" s="2">
        <f t="shared" si="1"/>
        <v>2.8369645714285714E-19</v>
      </c>
      <c r="K27" t="s">
        <v>114</v>
      </c>
      <c r="L27" s="10">
        <f t="shared" si="2"/>
        <v>1.7708892455858749</v>
      </c>
      <c r="M27" t="s">
        <v>120</v>
      </c>
    </row>
    <row r="28" spans="6:14" x14ac:dyDescent="0.2">
      <c r="F28">
        <f t="shared" si="3"/>
        <v>800</v>
      </c>
      <c r="H28">
        <f t="shared" si="0"/>
        <v>8.0000000000000007E-7</v>
      </c>
      <c r="J28" s="2">
        <f t="shared" si="1"/>
        <v>2.4823439999999999E-19</v>
      </c>
      <c r="K28" t="s">
        <v>114</v>
      </c>
      <c r="L28" s="10">
        <f t="shared" si="2"/>
        <v>1.5495280898876405</v>
      </c>
      <c r="M28" t="s">
        <v>120</v>
      </c>
    </row>
    <row r="29" spans="6:14" x14ac:dyDescent="0.2">
      <c r="F29">
        <f t="shared" si="3"/>
        <v>900</v>
      </c>
      <c r="H29">
        <f t="shared" si="0"/>
        <v>9.0000000000000007E-7</v>
      </c>
      <c r="J29" s="2">
        <f t="shared" si="1"/>
        <v>2.2065279999999998E-19</v>
      </c>
      <c r="K29" t="s">
        <v>114</v>
      </c>
      <c r="L29" s="10">
        <f t="shared" si="2"/>
        <v>1.377358302122347</v>
      </c>
      <c r="M29" t="s">
        <v>120</v>
      </c>
    </row>
    <row r="30" spans="6:14" x14ac:dyDescent="0.2">
      <c r="F30">
        <f t="shared" si="3"/>
        <v>1000</v>
      </c>
      <c r="H30">
        <f t="shared" si="0"/>
        <v>1.0000000000000002E-6</v>
      </c>
      <c r="J30" s="2">
        <f t="shared" si="1"/>
        <v>1.9858751999999998E-19</v>
      </c>
      <c r="K30" t="s">
        <v>114</v>
      </c>
      <c r="L30" s="10">
        <f t="shared" si="2"/>
        <v>1.2396224719101123</v>
      </c>
      <c r="M30" t="s">
        <v>120</v>
      </c>
      <c r="N30" t="s">
        <v>122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SSA</vt:lpstr>
      <vt:lpstr>HW 01</vt:lpstr>
      <vt:lpstr>HW 03</vt:lpstr>
      <vt:lpstr>HW 04</vt:lpstr>
      <vt:lpstr>HW 05</vt:lpstr>
      <vt:lpstr>volume(theta)</vt:lpstr>
      <vt:lpstr>r_crit;gamma</vt:lpstr>
      <vt:lpstr>enthalpy &amp; E</vt:lpstr>
      <vt:lpstr>lambda nm</vt:lpstr>
      <vt:lpstr>Bragg</vt:lpstr>
      <vt:lpstr>Bragg!Print_Area</vt:lpstr>
      <vt:lpstr>'HW 03'!Print_Area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Rishi Raj</dc:creator>
  <cp:lastModifiedBy>Rishi Raj</cp:lastModifiedBy>
  <cp:lastPrinted>2022-10-05T19:31:53Z</cp:lastPrinted>
  <dcterms:created xsi:type="dcterms:W3CDTF">2022-08-24T18:04:07Z</dcterms:created>
  <dcterms:modified xsi:type="dcterms:W3CDTF">2022-10-06T14:32:03Z</dcterms:modified>
</cp:coreProperties>
</file>